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mc:AlternateContent xmlns:mc="http://schemas.openxmlformats.org/markup-compatibility/2006">
    <mc:Choice Requires="x15">
      <x15ac:absPath xmlns:x15ac="http://schemas.microsoft.com/office/spreadsheetml/2010/11/ac" url="D:\OneDrive\FGV\04_Modulos\09 - Controladoria Gerencial\Estudo para Prova\Prova\"/>
    </mc:Choice>
  </mc:AlternateContent>
  <xr:revisionPtr revIDLastSave="20" documentId="11_187DF3645C36DBA7F646899A3EE89074F42A37A3" xr6:coauthVersionLast="45" xr6:coauthVersionMax="45" xr10:uidLastSave="{9E885E69-F75F-4689-B0AB-BB25E2ABF9C4}"/>
  <bookViews>
    <workbookView xWindow="-108" yWindow="-108" windowWidth="30936" windowHeight="17040" xr2:uid="{00000000-000D-0000-FFFF-FFFF00000000}"/>
  </bookViews>
  <sheets>
    <sheet name="Q2 planilha" sheetId="19" r:id="rId1"/>
    <sheet name="Resp Q1" sheetId="1" state="hidden" r:id="rId2"/>
    <sheet name="Resp Q2" sheetId="7" state="hidden" r:id="rId3"/>
    <sheet name="Resp Q3" sheetId="2" state="hidden" r:id="rId4"/>
    <sheet name="Resp Q4" sheetId="3" state="hidden" r:id="rId5"/>
    <sheet name="Resp Q5" sheetId="8" state="hidden" r:id="rId6"/>
    <sheet name="Resp Q6" sheetId="9" state="hidden" r:id="rId7"/>
    <sheet name="Q3 Anexo" sheetId="6" r:id="rId8"/>
  </sheets>
  <definedNames>
    <definedName name="OLE_LINK1" localSheetId="4">'Resp Q4'!$A$2</definedName>
    <definedName name="_xlnm.Print_Area" localSheetId="1">'Resp Q1'!$A$1:$K$75</definedName>
    <definedName name="_xlnm.Print_Area" localSheetId="2">'Resp Q2'!$A$1:$I$64</definedName>
    <definedName name="_xlnm.Print_Area" localSheetId="3">'Resp Q3'!$A$1:$D$34</definedName>
    <definedName name="_xlnm.Print_Area" localSheetId="4">'Resp Q4'!$A$1:$H$37</definedName>
    <definedName name="_xlnm.Print_Area" localSheetId="5">'Resp Q5'!$A$1:$J$31</definedName>
    <definedName name="_xlnm.Print_Area" localSheetId="6">'Resp Q6'!$A$1:$G$77</definedName>
    <definedName name="solver_eng" localSheetId="3" hidden="1">1</definedName>
    <definedName name="solver_neg" localSheetId="3" hidden="1">1</definedName>
    <definedName name="solver_num" localSheetId="3" hidden="1">0</definedName>
    <definedName name="solver_opt" localSheetId="3" hidden="1">'Resp Q3'!$B$14</definedName>
    <definedName name="solver_typ" localSheetId="3" hidden="1">1</definedName>
    <definedName name="solver_val" localSheetId="3" hidden="1">0</definedName>
    <definedName name="solver_ver" localSheetId="3"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T22" i="19" l="1"/>
  <c r="V7" i="19"/>
  <c r="O33" i="19"/>
  <c r="T26" i="19" s="1"/>
  <c r="O30" i="19"/>
  <c r="O27" i="19"/>
  <c r="T19" i="19" s="1"/>
  <c r="O23" i="19"/>
  <c r="V14" i="19" s="1"/>
  <c r="O22" i="19"/>
  <c r="V13" i="19" s="1"/>
  <c r="O21" i="19"/>
  <c r="V12" i="19" s="1"/>
  <c r="O20" i="19"/>
  <c r="O18" i="19"/>
  <c r="V9" i="19" s="1"/>
  <c r="O16" i="19"/>
  <c r="O15" i="19"/>
  <c r="O13" i="19"/>
  <c r="T15" i="19" s="1"/>
  <c r="O12" i="19"/>
  <c r="T14" i="19" s="1"/>
  <c r="O9" i="19"/>
  <c r="O8" i="19"/>
  <c r="T8" i="19" s="1"/>
  <c r="O6" i="19"/>
  <c r="I33" i="19"/>
  <c r="J13" i="19"/>
  <c r="J24" i="19"/>
  <c r="J28" i="19" s="1"/>
  <c r="O28" i="19" s="1"/>
  <c r="T20" i="19" s="1"/>
  <c r="I24" i="19"/>
  <c r="I19" i="19"/>
  <c r="O19" i="19" s="1"/>
  <c r="V10" i="19" s="1"/>
  <c r="D7" i="19"/>
  <c r="O7" i="19" s="1"/>
  <c r="T7" i="19" s="1"/>
  <c r="T6" i="19" s="1"/>
  <c r="C12" i="19"/>
  <c r="C10" i="19"/>
  <c r="O10" i="19" s="1"/>
  <c r="T12" i="19" s="1"/>
  <c r="N14" i="19"/>
  <c r="M14" i="19"/>
  <c r="J14" i="19"/>
  <c r="H14" i="19"/>
  <c r="G14" i="19"/>
  <c r="F14" i="19"/>
  <c r="E14" i="19"/>
  <c r="D14" i="19"/>
  <c r="C14" i="19"/>
  <c r="B14" i="19"/>
  <c r="K11" i="19" l="1"/>
  <c r="O29" i="19"/>
  <c r="I14" i="19"/>
  <c r="K24" i="19" l="1"/>
  <c r="O11" i="19"/>
  <c r="T21" i="19"/>
  <c r="T13" i="19" l="1"/>
  <c r="T11" i="19" s="1"/>
  <c r="T16" i="19" s="1"/>
  <c r="O5" i="19"/>
  <c r="T5" i="19" s="1"/>
  <c r="K31" i="19"/>
  <c r="O31" i="19" s="1"/>
  <c r="K14" i="19"/>
  <c r="L17" i="19"/>
  <c r="N5" i="19"/>
  <c r="M5" i="19"/>
  <c r="L5" i="19"/>
  <c r="K5" i="19"/>
  <c r="J5" i="19"/>
  <c r="I5" i="19"/>
  <c r="H5" i="19"/>
  <c r="G5" i="19"/>
  <c r="F5" i="19"/>
  <c r="E5" i="19"/>
  <c r="D5" i="19"/>
  <c r="C5" i="19"/>
  <c r="B5" i="19"/>
  <c r="T23" i="19" l="1"/>
  <c r="O32" i="19"/>
  <c r="O17" i="19"/>
  <c r="L24" i="19"/>
  <c r="L14" i="19"/>
  <c r="H54" i="7"/>
  <c r="L35" i="19" l="1"/>
  <c r="O35" i="19" s="1"/>
  <c r="T28" i="19" s="1"/>
  <c r="O24" i="19"/>
  <c r="V15" i="19" s="1"/>
  <c r="V11" i="19" s="1"/>
  <c r="V16" i="19" s="1"/>
  <c r="V8" i="19"/>
  <c r="V6" i="19" s="1"/>
  <c r="T24" i="19"/>
  <c r="O34" i="19"/>
  <c r="M8" i="1"/>
  <c r="T27" i="19" l="1"/>
  <c r="O36" i="19"/>
  <c r="T29" i="19" s="1"/>
  <c r="O14" i="19"/>
  <c r="V5" i="19" s="1"/>
  <c r="M25" i="8" l="1"/>
  <c r="I44" i="8" s="1"/>
  <c r="M34" i="3" l="1"/>
  <c r="E73" i="6"/>
  <c r="E74" i="6" s="1"/>
  <c r="C72" i="6"/>
  <c r="C71" i="6"/>
  <c r="C70" i="6"/>
  <c r="E68" i="6"/>
  <c r="E55" i="6"/>
  <c r="E54" i="6"/>
  <c r="E51" i="6"/>
  <c r="E48" i="6" s="1"/>
  <c r="E47" i="6"/>
  <c r="E43" i="6" s="1"/>
  <c r="E27" i="6"/>
  <c r="E28" i="6" s="1"/>
  <c r="E26" i="6" s="1"/>
  <c r="E42" i="6"/>
  <c r="E25" i="6"/>
  <c r="I17" i="6"/>
  <c r="I14" i="6" s="1"/>
  <c r="H17" i="6"/>
  <c r="H14" i="6" s="1"/>
  <c r="C15" i="6"/>
  <c r="C12" i="6" s="1"/>
  <c r="B15" i="6"/>
  <c r="B12" i="6" s="1"/>
  <c r="I13" i="6"/>
  <c r="I11" i="6" s="1"/>
  <c r="H13" i="6"/>
  <c r="H11" i="6" s="1"/>
  <c r="C11" i="6"/>
  <c r="B11" i="6"/>
  <c r="I10" i="6"/>
  <c r="I6" i="6" s="1"/>
  <c r="H10" i="6"/>
  <c r="H6" i="6" s="1"/>
  <c r="C8" i="6"/>
  <c r="B8" i="6"/>
  <c r="C7" i="6"/>
  <c r="E59" i="6" s="1"/>
  <c r="B7" i="6"/>
  <c r="E60" i="6" s="1"/>
  <c r="E29" i="6" l="1"/>
  <c r="C77" i="6" s="1"/>
  <c r="H18" i="6"/>
  <c r="C76" i="6" s="1"/>
  <c r="I18" i="6"/>
  <c r="C73" i="6"/>
  <c r="C74" i="6" s="1"/>
  <c r="B6" i="6"/>
  <c r="C69" i="6" s="1"/>
  <c r="E56" i="6"/>
  <c r="E52" i="6" s="1"/>
  <c r="C6" i="6"/>
  <c r="C18" i="6" s="1"/>
  <c r="E32" i="6" l="1"/>
  <c r="E34" i="6" s="1"/>
  <c r="C66" i="6" s="1"/>
  <c r="B18" i="6"/>
  <c r="C75" i="6"/>
  <c r="C65" i="6"/>
  <c r="C67" i="6"/>
  <c r="E40" i="6" l="1"/>
  <c r="C68" i="6"/>
  <c r="E39" i="6" l="1"/>
  <c r="E58" i="6" s="1"/>
  <c r="A26" i="2"/>
  <c r="A33" i="2"/>
  <c r="A34" i="2"/>
  <c r="A32" i="2"/>
  <c r="A30" i="2"/>
  <c r="A29" i="2"/>
  <c r="A28" i="2"/>
  <c r="A25" i="2"/>
  <c r="A23" i="2"/>
  <c r="A22" i="2"/>
  <c r="A21" i="2"/>
  <c r="A20" i="2"/>
  <c r="A19" i="2"/>
  <c r="A18" i="2"/>
  <c r="A17" i="2"/>
  <c r="A16" i="2"/>
  <c r="A6" i="2"/>
  <c r="A15" i="2"/>
  <c r="A12" i="2"/>
  <c r="A11" i="2"/>
  <c r="A10" i="2"/>
  <c r="A9" i="2"/>
  <c r="A8" i="2"/>
  <c r="A5" i="2"/>
  <c r="G4" i="7" l="1"/>
  <c r="H59" i="7" s="1"/>
  <c r="H17" i="8"/>
  <c r="C20" i="8"/>
  <c r="C13" i="8"/>
  <c r="E12" i="8"/>
  <c r="H9" i="8"/>
  <c r="C19" i="8"/>
  <c r="C11" i="8"/>
  <c r="E20" i="8"/>
  <c r="C18" i="8"/>
  <c r="C10" i="8"/>
  <c r="E18" i="8"/>
  <c r="E10" i="8"/>
  <c r="F39" i="7"/>
  <c r="H56" i="7" s="1"/>
  <c r="D35" i="7"/>
  <c r="H10" i="7"/>
  <c r="H46" i="7" s="1"/>
  <c r="E8" i="7"/>
  <c r="H55" i="7" s="1"/>
  <c r="D49" i="2"/>
  <c r="B52" i="2"/>
  <c r="B32" i="7"/>
  <c r="H51" i="7" s="1"/>
  <c r="G14" i="7"/>
  <c r="H47" i="7" s="1"/>
  <c r="D20" i="2"/>
  <c r="B20" i="2" s="1"/>
  <c r="G37" i="7"/>
  <c r="H61" i="7" s="1"/>
  <c r="G21" i="7"/>
  <c r="H49" i="7" s="1"/>
  <c r="E19" i="7"/>
  <c r="D27" i="2"/>
  <c r="B31" i="2" s="1"/>
  <c r="D19" i="2"/>
  <c r="B22" i="2" s="1"/>
  <c r="D16" i="2"/>
  <c r="B25" i="2" s="1"/>
  <c r="G24" i="7"/>
  <c r="H60" i="7" s="1"/>
  <c r="C28" i="7"/>
  <c r="H50" i="7" s="1"/>
  <c r="D16" i="7"/>
  <c r="H48" i="7" s="1"/>
  <c r="D47" i="2"/>
  <c r="D26" i="2"/>
  <c r="B13" i="2" s="1"/>
  <c r="D24" i="2"/>
  <c r="B7" i="2" s="1"/>
  <c r="D11" i="2"/>
  <c r="B29" i="2" s="1"/>
  <c r="D6" i="2"/>
  <c r="D10" i="2"/>
  <c r="B16" i="2" s="1"/>
  <c r="D7" i="2"/>
  <c r="B14" i="2" s="1"/>
  <c r="B5" i="3"/>
  <c r="G10" i="3"/>
  <c r="F22" i="3" s="1"/>
  <c r="G22" i="3" s="1"/>
  <c r="G9" i="3"/>
  <c r="G8" i="3"/>
  <c r="B49" i="2"/>
  <c r="B26" i="2" s="1"/>
  <c r="D42" i="2"/>
  <c r="B6" i="2" s="1"/>
  <c r="B50" i="2"/>
  <c r="B15" i="2" s="1"/>
  <c r="D50" i="2"/>
  <c r="B30" i="2" s="1"/>
  <c r="D5" i="2"/>
  <c r="D41" i="2"/>
  <c r="B8" i="2" s="1"/>
  <c r="B46" i="2"/>
  <c r="B23" i="2" s="1"/>
  <c r="D23" i="2"/>
  <c r="D22" i="2" s="1"/>
  <c r="B41" i="2"/>
  <c r="B5" i="2" s="1"/>
  <c r="D40" i="2"/>
  <c r="B42" i="2"/>
  <c r="B11" i="2" s="1"/>
  <c r="B40" i="2"/>
  <c r="J19" i="1"/>
  <c r="E8" i="1"/>
  <c r="G72" i="1"/>
  <c r="I38" i="1"/>
  <c r="P29" i="1" s="1"/>
  <c r="B52" i="1"/>
  <c r="E14" i="1"/>
  <c r="J45" i="1"/>
  <c r="F51" i="1"/>
  <c r="P30" i="1" s="1"/>
  <c r="E56" i="1"/>
  <c r="E17" i="1"/>
  <c r="E48" i="1"/>
  <c r="F8" i="1" s="1"/>
  <c r="F9" i="1" s="1"/>
  <c r="E20" i="1"/>
  <c r="E7" i="1"/>
  <c r="P25" i="1" s="1"/>
  <c r="E15" i="1"/>
  <c r="J9" i="1"/>
  <c r="H53" i="7" l="1"/>
  <c r="C42" i="8"/>
  <c r="C12" i="8"/>
  <c r="C14" i="8" s="1"/>
  <c r="E45" i="8"/>
  <c r="G31" i="8"/>
  <c r="E21" i="8"/>
  <c r="C44" i="8"/>
  <c r="E44" i="8"/>
  <c r="G29" i="8"/>
  <c r="C41" i="8"/>
  <c r="E41" i="8"/>
  <c r="E14" i="8"/>
  <c r="H58" i="7"/>
  <c r="C21" i="8"/>
  <c r="H10" i="8"/>
  <c r="H11" i="8" s="1"/>
  <c r="H12" i="8"/>
  <c r="D36" i="8" s="1"/>
  <c r="D33" i="8"/>
  <c r="H18" i="8"/>
  <c r="H19" i="8" s="1"/>
  <c r="H21" i="8" s="1"/>
  <c r="H13" i="8" s="1"/>
  <c r="N6" i="3"/>
  <c r="H45" i="7"/>
  <c r="D9" i="2"/>
  <c r="B18" i="2" s="1"/>
  <c r="D15" i="2"/>
  <c r="D21" i="2"/>
  <c r="B9" i="2" s="1"/>
  <c r="B53" i="2"/>
  <c r="B28" i="2" s="1"/>
  <c r="P31" i="1"/>
  <c r="J12" i="1"/>
  <c r="P32" i="1"/>
  <c r="K7" i="1"/>
  <c r="P27" i="1"/>
  <c r="D8" i="2"/>
  <c r="B12" i="2" s="1"/>
  <c r="M6" i="3"/>
  <c r="F23" i="3" s="1"/>
  <c r="F24" i="3" s="1"/>
  <c r="O6" i="3"/>
  <c r="G23" i="3" s="1"/>
  <c r="G24" i="3" s="1"/>
  <c r="M4" i="3"/>
  <c r="N4" i="3" s="1"/>
  <c r="M5" i="3"/>
  <c r="N5" i="3"/>
  <c r="O5" i="3"/>
  <c r="G25" i="3"/>
  <c r="F25" i="3"/>
  <c r="F17" i="1"/>
  <c r="I29" i="1"/>
  <c r="I33" i="1"/>
  <c r="F15" i="1"/>
  <c r="B10" i="2"/>
  <c r="D39" i="2"/>
  <c r="D34" i="2" s="1"/>
  <c r="B19" i="2"/>
  <c r="D46" i="2"/>
  <c r="B17" i="2"/>
  <c r="E9" i="1"/>
  <c r="D42" i="1"/>
  <c r="B33" i="2"/>
  <c r="D48" i="2"/>
  <c r="I26" i="1"/>
  <c r="I27" i="1" s="1"/>
  <c r="F20" i="1"/>
  <c r="I28" i="1" s="1"/>
  <c r="I72" i="1"/>
  <c r="J72" i="1" s="1"/>
  <c r="K9" i="1" s="1"/>
  <c r="I36" i="1" s="1"/>
  <c r="I35" i="1"/>
  <c r="J56" i="1"/>
  <c r="B21" i="2"/>
  <c r="B39" i="2"/>
  <c r="D31" i="2" s="1"/>
  <c r="B24" i="2"/>
  <c r="B32" i="2"/>
  <c r="B34" i="2"/>
  <c r="E46" i="8" l="1"/>
  <c r="G23" i="8"/>
  <c r="H14" i="8"/>
  <c r="G27" i="8" s="1"/>
  <c r="C46" i="8"/>
  <c r="D34" i="8"/>
  <c r="D35" i="8" s="1"/>
  <c r="D38" i="8" s="1"/>
  <c r="D14" i="2"/>
  <c r="B27" i="2"/>
  <c r="H64" i="7"/>
  <c r="P28" i="1"/>
  <c r="P26" i="1"/>
  <c r="F26" i="3"/>
  <c r="F27" i="3" s="1"/>
  <c r="F28" i="3" s="1"/>
  <c r="D13" i="2"/>
  <c r="G26" i="3"/>
  <c r="G27" i="3" s="1"/>
  <c r="G28" i="3" s="1"/>
  <c r="M8" i="3"/>
  <c r="M9" i="3" s="1"/>
  <c r="O4" i="3"/>
  <c r="O8" i="3" s="1"/>
  <c r="O9" i="3" s="1"/>
  <c r="N8" i="3"/>
  <c r="N9" i="3" s="1"/>
  <c r="D18" i="2"/>
  <c r="D54" i="2"/>
  <c r="K8" i="1"/>
  <c r="F10" i="1"/>
  <c r="F14" i="1"/>
  <c r="P33" i="1" l="1"/>
  <c r="F7" i="1" s="1"/>
  <c r="D25" i="2"/>
  <c r="D28" i="2" s="1"/>
  <c r="I37" i="1"/>
  <c r="K12" i="1"/>
  <c r="J57" i="1"/>
  <c r="E21" i="1"/>
  <c r="K19" i="1"/>
  <c r="E18" i="1"/>
  <c r="I30" i="1"/>
  <c r="F21" i="1" l="1"/>
  <c r="F18" i="1"/>
  <c r="I62" i="1"/>
  <c r="E22" i="1"/>
  <c r="F11" i="1"/>
  <c r="E11" i="1"/>
  <c r="L63" i="1" l="1"/>
  <c r="J63" i="1"/>
  <c r="F19" i="1" s="1"/>
  <c r="I31" i="1" s="1"/>
  <c r="I39" i="1" s="1"/>
  <c r="E23" i="1"/>
  <c r="J20" i="1" s="1"/>
  <c r="F22" i="1" l="1"/>
  <c r="F23" i="1" s="1"/>
  <c r="J21" i="1"/>
  <c r="K20" i="1"/>
  <c r="K21" i="1" s="1"/>
  <c r="K23" i="1" s="1"/>
  <c r="B51" i="2"/>
  <c r="D33" i="2" s="1"/>
  <c r="B45" i="2"/>
  <c r="B48" i="2"/>
  <c r="D32" i="2" s="1"/>
  <c r="K25" i="1" l="1"/>
  <c r="J23" i="1"/>
  <c r="B54" i="2"/>
</calcChain>
</file>

<file path=xl/sharedStrings.xml><?xml version="1.0" encoding="utf-8"?>
<sst xmlns="http://schemas.openxmlformats.org/spreadsheetml/2006/main" count="904" uniqueCount="473">
  <si>
    <t xml:space="preserve">Questão 1 </t>
  </si>
  <si>
    <t>Ativo Circulante</t>
  </si>
  <si>
    <t>Passivo</t>
  </si>
  <si>
    <t>Caixa e Bancos</t>
  </si>
  <si>
    <t>Fornecedores</t>
  </si>
  <si>
    <t>Contas a Receber</t>
  </si>
  <si>
    <t xml:space="preserve"> Receitas Antecipadas</t>
  </si>
  <si>
    <t>Dividendos a Receber</t>
  </si>
  <si>
    <t xml:space="preserve">    Total do Circulante</t>
  </si>
  <si>
    <t xml:space="preserve"> Provisão para Contingências</t>
  </si>
  <si>
    <t>Ativo Não Circulante</t>
  </si>
  <si>
    <t xml:space="preserve">    Total do Passivo</t>
  </si>
  <si>
    <t>Investimentos</t>
  </si>
  <si>
    <t xml:space="preserve">  Participação na Cia A</t>
  </si>
  <si>
    <t xml:space="preserve">  Participação na Cia B</t>
  </si>
  <si>
    <t>Imobilizado</t>
  </si>
  <si>
    <t>Patrimônio Líquido</t>
  </si>
  <si>
    <t>Capital Social</t>
  </si>
  <si>
    <t>Lucros (prejuízos) Acumulados</t>
  </si>
  <si>
    <t xml:space="preserve"> TOTAL DO ATIVO</t>
  </si>
  <si>
    <t xml:space="preserve"> TOTAL DO PASSIVO E PL</t>
  </si>
  <si>
    <t>Receita Líquida</t>
  </si>
  <si>
    <t xml:space="preserve">    Desp. de Depreciação Veículos</t>
  </si>
  <si>
    <t xml:space="preserve">    Desp. de Depreciação Prédios</t>
  </si>
  <si>
    <t xml:space="preserve">    Desp. c/ incobráveis</t>
  </si>
  <si>
    <t xml:space="preserve">    Desp. com Prov. p/ Contingências</t>
  </si>
  <si>
    <t xml:space="preserve">    Despesas c/ Manut. e Reforma</t>
  </si>
  <si>
    <t xml:space="preserve">    Receita de Dividendos</t>
  </si>
  <si>
    <t xml:space="preserve">    Resultado de Equiv. Patrimonial</t>
  </si>
  <si>
    <t xml:space="preserve">    Despesas Financeiras</t>
  </si>
  <si>
    <t>Resultado Líquido</t>
  </si>
  <si>
    <t>Questão 1: Dados adicionais</t>
  </si>
  <si>
    <t>1-</t>
  </si>
  <si>
    <t>2-</t>
  </si>
  <si>
    <t>A Cia Logística possui 30% do capital votante da Cia A.</t>
  </si>
  <si>
    <t>3-</t>
  </si>
  <si>
    <t>Os veículos tem uma taxa média de depreciação de 15% ao ano.</t>
  </si>
  <si>
    <t>5-</t>
  </si>
  <si>
    <t>6-</t>
  </si>
  <si>
    <t xml:space="preserve"> provocando a desvalorização do imóvel, cujo valor de venda caiu para</t>
  </si>
  <si>
    <t>.</t>
  </si>
  <si>
    <t>Caixa</t>
  </si>
  <si>
    <t>Lucro Acumulado</t>
  </si>
  <si>
    <t>Total</t>
  </si>
  <si>
    <t>Lucro Bruto</t>
  </si>
  <si>
    <t xml:space="preserve">    Despesas de Vendas</t>
  </si>
  <si>
    <t xml:space="preserve">    Despesas Administrativas</t>
  </si>
  <si>
    <t>31/12/x8</t>
  </si>
  <si>
    <t>31/12/x9</t>
  </si>
  <si>
    <t>DEMONSTRAÇÃO DO RESULTADO DO EXERCÍCIO DE X9</t>
  </si>
  <si>
    <t>Saldo final de Caixa</t>
  </si>
  <si>
    <t xml:space="preserve"> Empréstimo</t>
  </si>
  <si>
    <t xml:space="preserve">    Total do Não Circul.</t>
  </si>
  <si>
    <t xml:space="preserve">    Total do Patrim. Líquido</t>
  </si>
  <si>
    <t>(-) Depreciação Acum.</t>
  </si>
  <si>
    <t xml:space="preserve">O hotel recebeu </t>
  </si>
  <si>
    <t xml:space="preserve">pelas contas a receber do período anterior e assumiu que o restante das contas a </t>
  </si>
  <si>
    <t>receber do período anterior é incobrável.</t>
  </si>
  <si>
    <t xml:space="preserve">. 20% deste </t>
  </si>
  <si>
    <t xml:space="preserve"> (-) PECLD</t>
  </si>
  <si>
    <t xml:space="preserve">    Gastos de hospedagem</t>
  </si>
  <si>
    <t xml:space="preserve"> Por outro lado, o valor das estadias que foram realizadas pelo hotel no ano,  mas que não foram pagas pelos</t>
  </si>
  <si>
    <t xml:space="preserve"> hóspedes até 31/12/x9 é de</t>
  </si>
  <si>
    <t>receber do final do período.</t>
  </si>
  <si>
    <t xml:space="preserve">. O hotel assume que a taxa de inadimplência é de 5% das contas a </t>
  </si>
  <si>
    <t xml:space="preserve">A Cia A apurou lucro  de </t>
  </si>
  <si>
    <t>pela instalação de um novo sistema de ar condicionado nos veículos.</t>
  </si>
  <si>
    <t>Imóvel</t>
  </si>
  <si>
    <t>. A empresa entrou com recurso e seus advogados afirmam que há 95% de probabilidade da empresa</t>
  </si>
  <si>
    <t xml:space="preserve"> não ter que vir a pagá-la. </t>
  </si>
  <si>
    <t xml:space="preserve">8- </t>
  </si>
  <si>
    <t>O imóvel do hotel tem vida útil de 50 anos e valor residual nulo. Em x9, foi construído um viaduto na região,</t>
  </si>
  <si>
    <t xml:space="preserve">    Resultado Variação Cambial</t>
  </si>
  <si>
    <t xml:space="preserve"> Juros a Pagar</t>
  </si>
  <si>
    <t xml:space="preserve">   Imposto de Renda</t>
  </si>
  <si>
    <t xml:space="preserve">Por conta de uma questão ambiental relacionado aos descartes do hotel, a empresa tomou uma multa de </t>
  </si>
  <si>
    <t>2 pontos</t>
  </si>
  <si>
    <t>Contas Patrimoniais e de Resultado</t>
  </si>
  <si>
    <t>Salários a Pagar</t>
  </si>
  <si>
    <t>Depreciação Acumulada</t>
  </si>
  <si>
    <t>Software contábil</t>
  </si>
  <si>
    <t>Lucro antes resultado financeiro</t>
  </si>
  <si>
    <t xml:space="preserve">Total do Ativo Circulante </t>
  </si>
  <si>
    <t>Total do Ativo Imobilizado</t>
  </si>
  <si>
    <t>Total do Ativo Intangível</t>
  </si>
  <si>
    <t>Total do Passivo Circulante</t>
  </si>
  <si>
    <t>31/12/x4</t>
  </si>
  <si>
    <t>Passivo Circulante</t>
  </si>
  <si>
    <t>Despesas Antecipadas</t>
  </si>
  <si>
    <t>Receitas Antecipadas</t>
  </si>
  <si>
    <t>Passivo Não Circulante</t>
  </si>
  <si>
    <t>Empréstimos Bancários (longo prazo)</t>
  </si>
  <si>
    <t>Intangíveis</t>
  </si>
  <si>
    <t>Amortização Acumulada</t>
  </si>
  <si>
    <t>SARADA
Balanço Patrimonial findo em 31 de dezembro de X4</t>
  </si>
  <si>
    <t>Imóveis e instalações da academia</t>
  </si>
  <si>
    <t>Outros Resultados Operacionais</t>
  </si>
  <si>
    <t>Lucro na venda de ativos usados</t>
  </si>
  <si>
    <t xml:space="preserve">Questão 4 </t>
  </si>
  <si>
    <t>A</t>
  </si>
  <si>
    <t>B</t>
  </si>
  <si>
    <t>C</t>
  </si>
  <si>
    <t>Caixa e Equivalentes de Caixa</t>
  </si>
  <si>
    <t>Aplicações Financeiras</t>
  </si>
  <si>
    <t>Obrigações Sociais e Trabalhistas</t>
  </si>
  <si>
    <t>Empréstimos e Financiamentos</t>
  </si>
  <si>
    <t>Estoques</t>
  </si>
  <si>
    <t>Outros passivos circulantes</t>
  </si>
  <si>
    <t>Outros ativos circulantes</t>
  </si>
  <si>
    <t>Realizável a Longo Prazo</t>
  </si>
  <si>
    <t>Outros passivos não circulantes</t>
  </si>
  <si>
    <t>Imobilizado bruto</t>
  </si>
  <si>
    <t>(-) Depreciação Acumulada</t>
  </si>
  <si>
    <t>Intangível</t>
  </si>
  <si>
    <t>Outras Reservas</t>
  </si>
  <si>
    <t>Total do Ativo</t>
  </si>
  <si>
    <t>Total do Passivo + PL</t>
  </si>
  <si>
    <t>Vendas</t>
  </si>
  <si>
    <t>Fluxo de Caixa das Operações</t>
  </si>
  <si>
    <t>Custo dos Produtos Vendidos</t>
  </si>
  <si>
    <t>Lucro (Prejuízo) do Exercício</t>
  </si>
  <si>
    <t>Despesas de vendas, gerais e administrativas</t>
  </si>
  <si>
    <t>Outros ajustes ao resultado</t>
  </si>
  <si>
    <t>Despesa de depreciação</t>
  </si>
  <si>
    <t>Outras despesas/receitas operacionais</t>
  </si>
  <si>
    <t>Despesas financeiras</t>
  </si>
  <si>
    <t>Receitas financeiras</t>
  </si>
  <si>
    <t>Outros</t>
  </si>
  <si>
    <t>Lucro antes do IR</t>
  </si>
  <si>
    <t>Fluxo de Caixa de Investimentos</t>
  </si>
  <si>
    <t>Lucro Líquido</t>
  </si>
  <si>
    <t>Aquisições de Imobilizado e Intangíveis</t>
  </si>
  <si>
    <t>Vendas de Imobilizado</t>
  </si>
  <si>
    <t>Fluxo de Caixa de Financiamentos</t>
  </si>
  <si>
    <t>Empréstimos e Financiamentos contratados</t>
  </si>
  <si>
    <t>Empréstimos e Financiamentos liquidados</t>
  </si>
  <si>
    <t>Dividendos pagos</t>
  </si>
  <si>
    <t>Variação cambial sobre caixa e equivalentes</t>
  </si>
  <si>
    <t>Aumento (Redução) de Caixa e Equivalentes</t>
  </si>
  <si>
    <t>Saldo Inicial de Caixa e Equivalentes</t>
  </si>
  <si>
    <t>Saldo Final de Caixa e Equivalentes</t>
  </si>
  <si>
    <t>Média da Indústria</t>
  </si>
  <si>
    <t>ROA</t>
  </si>
  <si>
    <t>ROE</t>
  </si>
  <si>
    <t>Margem Líquida</t>
  </si>
  <si>
    <t>Liquidez Corrente</t>
  </si>
  <si>
    <t>Ciclo Operacional</t>
  </si>
  <si>
    <t>Ciclo Financeiro</t>
  </si>
  <si>
    <t>Giro do Ativo</t>
  </si>
  <si>
    <t>Endividamento geral</t>
  </si>
  <si>
    <t>Fórmulas:</t>
  </si>
  <si>
    <t>ROE = Lucro Líquido ÷ Patrimônio Líquido Médio ou ROE = ROA x Índice de Alavancagem Financeira</t>
  </si>
  <si>
    <t>Margem Líquida = Lucro Líquido ÷ Vendas</t>
  </si>
  <si>
    <t>Liquidez Corrente = Ativo Circulante ÷ Passivo Circulante</t>
  </si>
  <si>
    <t>Ciclo Operacional (CO) = PME + PMR</t>
  </si>
  <si>
    <t>Ciclo Financeiro = CO - PMP</t>
  </si>
  <si>
    <t>Endividamento geral = Passivo Total ÷ Ativo Total</t>
  </si>
  <si>
    <t>D</t>
  </si>
  <si>
    <t>1 ponto</t>
  </si>
  <si>
    <t>Durante o ano, ocorreram as seguintes transações:</t>
  </si>
  <si>
    <t>·          Compras de 8.000 unidades ao custo unitário de</t>
  </si>
  <si>
    <t>·          Despesas operacionais (excluindo imposto de renda)</t>
  </si>
  <si>
    <t>·          Vendas de 8.200 unidades ao preço unitário de</t>
  </si>
  <si>
    <t>A empresa encerrou o ano com 1.800 unidades em estoque, confirmadas por meio de contagem</t>
  </si>
  <si>
    <t>física. A alíquota do imposto de renda é de 30%.</t>
  </si>
  <si>
    <t>PEPS</t>
  </si>
  <si>
    <t>UEPS</t>
  </si>
  <si>
    <t>Custo Médio</t>
  </si>
  <si>
    <t>Demonstração do Resultado do Exercício</t>
  </si>
  <si>
    <t>Receita de Vendas</t>
  </si>
  <si>
    <t>(-) Custo das Mercadorias Vendidas</t>
  </si>
  <si>
    <t>(-) Despesas Operacionais</t>
  </si>
  <si>
    <t>Imposto de Renda</t>
  </si>
  <si>
    <t>Lucro antes do imposto de renda</t>
  </si>
  <si>
    <t>Movimentação do estoque</t>
  </si>
  <si>
    <t>Saldo Inicial</t>
  </si>
  <si>
    <t>Compras</t>
  </si>
  <si>
    <t>Estoque Final</t>
  </si>
  <si>
    <t>Check</t>
  </si>
  <si>
    <t>Critério de correção:</t>
  </si>
  <si>
    <t>Na hipótese de custos crescentes, o método do PEPS produz o maior lucro líquido, por ter o</t>
  </si>
  <si>
    <t>menor CMV, dado que este é apurado com base nos custos mais antigos.</t>
  </si>
  <si>
    <t>A coluna deve estar perfeitamente apurada. Se o aluno errar, o erro será justificado por não saber</t>
  </si>
  <si>
    <t>apurar o custo mediante cada premissa.</t>
  </si>
  <si>
    <t>Questão 2:</t>
  </si>
  <si>
    <t>Questão 1:</t>
  </si>
  <si>
    <t xml:space="preserve">Avaliar se o aluno argumenta adequadamente sobre os impactos no lucro líquido e no imposto, </t>
  </si>
  <si>
    <t>separadamente.</t>
  </si>
  <si>
    <r>
      <t xml:space="preserve">A empresa </t>
    </r>
    <r>
      <rPr>
        <b/>
        <sz val="12"/>
        <rFont val="Calibri"/>
        <family val="2"/>
        <scheme val="minor"/>
      </rPr>
      <t>Comercial</t>
    </r>
    <r>
      <rPr>
        <sz val="12"/>
        <rFont val="Calibri"/>
        <family val="2"/>
        <scheme val="minor"/>
      </rPr>
      <t xml:space="preserve"> </t>
    </r>
    <r>
      <rPr>
        <b/>
        <sz val="12"/>
        <color theme="1"/>
        <rFont val="Calibri"/>
        <family val="2"/>
        <scheme val="minor"/>
      </rPr>
      <t>Daniel Co</t>
    </r>
    <r>
      <rPr>
        <sz val="12"/>
        <color theme="1"/>
        <rFont val="Calibri"/>
        <family val="2"/>
        <scheme val="minor"/>
      </rPr>
      <t xml:space="preserve"> atua no mercado de revenda de mochilas esportivas de sua marca</t>
    </r>
  </si>
  <si>
    <r>
      <t xml:space="preserve">própria </t>
    </r>
    <r>
      <rPr>
        <b/>
        <sz val="12"/>
        <rFont val="Calibri"/>
        <family val="2"/>
        <scheme val="minor"/>
      </rPr>
      <t>DaniCo</t>
    </r>
    <r>
      <rPr>
        <sz val="12"/>
        <rFont val="Calibri"/>
        <family val="2"/>
        <scheme val="minor"/>
      </rPr>
      <t>.</t>
    </r>
  </si>
  <si>
    <r>
      <t xml:space="preserve">No início do ano, a empresa possuia um saldo inicial de 2.000 unidades de mochilas </t>
    </r>
    <r>
      <rPr>
        <b/>
        <sz val="12"/>
        <rFont val="Calibri"/>
        <family val="2"/>
        <scheme val="minor"/>
      </rPr>
      <t>DaniCo</t>
    </r>
    <r>
      <rPr>
        <sz val="12"/>
        <rFont val="Calibri"/>
        <family val="2"/>
        <scheme val="minor"/>
      </rPr>
      <t>, ao custo</t>
    </r>
  </si>
  <si>
    <t xml:space="preserve">unitário de </t>
  </si>
  <si>
    <t>tributação menor.</t>
  </si>
  <si>
    <t>SARADA                                                                                       Demonstração de Resultados x4</t>
  </si>
  <si>
    <t>Amortização software contábil no período</t>
  </si>
  <si>
    <t>Salário do contador no período</t>
  </si>
  <si>
    <t>Aluguel do escritório admin. no período</t>
  </si>
  <si>
    <t>Ações de empresas coligadas</t>
  </si>
  <si>
    <t>Comissão de vendas de planos da academia</t>
  </si>
  <si>
    <t>Depreciação dos aparelhos ginástica no período</t>
  </si>
  <si>
    <t>Receita de vendas de passes da academia</t>
  </si>
  <si>
    <t>Receita de vendas de aulas específicas</t>
  </si>
  <si>
    <t>Receita de vendas na lanchonete</t>
  </si>
  <si>
    <r>
      <t xml:space="preserve">A academia de ginástica </t>
    </r>
    <r>
      <rPr>
        <b/>
        <sz val="11"/>
        <rFont val="Calibri"/>
        <family val="2"/>
      </rPr>
      <t>SARADA</t>
    </r>
    <r>
      <rPr>
        <sz val="11"/>
        <rFont val="Calibri"/>
        <family val="2"/>
      </rPr>
      <t xml:space="preserve"> opera com venda de passes de academia, os quais são acesso a todas as atividades oferecidas pela academia, assim como vendas de aulas específicas. Adicionalmente, a academia dispõe de uma lanchonete, a fim de ampliar as suas operações e oferecer maior comodidade aos usuários.
Em 31 de dezembro de X4, a academia apresentou as seguintes contas patrimoniais e de resultado. Elabore  a Demonstração de Resultado do Exercício em formato de publicação e coloque os totais das contas patrimoniais solicitadas.</t>
    </r>
  </si>
  <si>
    <r>
      <rPr>
        <b/>
        <sz val="12"/>
        <rFont val="Calibri"/>
        <family val="2"/>
        <scheme val="minor"/>
      </rPr>
      <t>Q1)</t>
    </r>
    <r>
      <rPr>
        <sz val="12"/>
        <rFont val="Calibri"/>
        <family val="2"/>
        <scheme val="minor"/>
      </rPr>
      <t xml:space="preserve"> Com base nos dados acima, calcule o custo de mercadorias vendidas (CMV) e elabore a </t>
    </r>
  </si>
  <si>
    <t>e ao imposto de renda, assumindo a hipótese de custos de aquisição crescentes? Justifique.</t>
  </si>
  <si>
    <t>Argumento s/ lucro Líquido</t>
  </si>
  <si>
    <t>Argumento s/ Imp. Renda</t>
  </si>
  <si>
    <t>Custo dos produtos vendidos na lanchonete</t>
  </si>
  <si>
    <t>Salário professores da academia no período</t>
  </si>
  <si>
    <t>Limpeza dos aparelhos de ginástica no período</t>
  </si>
  <si>
    <t>Até 2 erros, meio certo</t>
  </si>
  <si>
    <t>Acima de 2 erros, zero</t>
  </si>
  <si>
    <t>1 erro, meio certo</t>
  </si>
  <si>
    <t>Indenização paga por acidente com aluno</t>
  </si>
  <si>
    <t>Gastos com Propaganda no período</t>
  </si>
  <si>
    <t>DAQUI PARA BAIXO, ELABORADO APENAS PARA CHECAR SALDOS. O ALUNO NÃO PRECISA PREENCHER.</t>
  </si>
  <si>
    <t>Despesa de juros</t>
  </si>
  <si>
    <t>Despesa com tarifas bancárias</t>
  </si>
  <si>
    <t>3 pontos</t>
  </si>
  <si>
    <r>
      <t>(-) Perda por</t>
    </r>
    <r>
      <rPr>
        <i/>
        <sz val="11"/>
        <color rgb="FF000000"/>
        <rFont val="Calibri"/>
        <family val="2"/>
        <scheme val="minor"/>
      </rPr>
      <t xml:space="preserve"> Impairment</t>
    </r>
  </si>
  <si>
    <r>
      <t xml:space="preserve">Veículos para </t>
    </r>
    <r>
      <rPr>
        <i/>
        <sz val="11"/>
        <color rgb="FF000000"/>
        <rFont val="Calibri"/>
        <family val="2"/>
        <scheme val="minor"/>
      </rPr>
      <t>transfer</t>
    </r>
  </si>
  <si>
    <r>
      <t xml:space="preserve">    Perda por </t>
    </r>
    <r>
      <rPr>
        <i/>
        <sz val="11"/>
        <rFont val="Calibri"/>
        <family val="2"/>
        <scheme val="minor"/>
      </rPr>
      <t xml:space="preserve">impairment </t>
    </r>
    <r>
      <rPr>
        <sz val="11"/>
        <rFont val="Calibri"/>
        <family val="2"/>
        <scheme val="minor"/>
      </rPr>
      <t>-Prédio</t>
    </r>
  </si>
  <si>
    <r>
      <t>No</t>
    </r>
    <r>
      <rPr>
        <b/>
        <sz val="11"/>
        <rFont val="Calibri"/>
        <family val="2"/>
        <scheme val="minor"/>
      </rPr>
      <t xml:space="preserve"> </t>
    </r>
    <r>
      <rPr>
        <sz val="11"/>
        <rFont val="Calibri"/>
        <family val="2"/>
        <scheme val="minor"/>
      </rPr>
      <t>início de x8 a empresa pagou</t>
    </r>
  </si>
  <si>
    <r>
      <t xml:space="preserve">pela pintura de logotipo em seus veículos de </t>
    </r>
    <r>
      <rPr>
        <i/>
        <sz val="11"/>
        <rFont val="Calibri"/>
        <family val="2"/>
        <scheme val="minor"/>
      </rPr>
      <t>transfer</t>
    </r>
    <r>
      <rPr>
        <sz val="11"/>
        <rFont val="Calibri"/>
        <family val="2"/>
        <scheme val="minor"/>
      </rPr>
      <t xml:space="preserve"> e</t>
    </r>
  </si>
  <si>
    <r>
      <t xml:space="preserve">Os valores finais do Balanço e da DRE da empresa hoteleira </t>
    </r>
    <r>
      <rPr>
        <b/>
        <sz val="11"/>
        <color rgb="FF000000"/>
        <rFont val="Calibri"/>
        <family val="2"/>
        <scheme val="minor"/>
      </rPr>
      <t xml:space="preserve">"Pongo's Paradise" </t>
    </r>
    <r>
      <rPr>
        <sz val="11"/>
        <color rgb="FF000000"/>
        <rFont val="Calibri"/>
        <family val="2"/>
        <scheme val="minor"/>
      </rPr>
      <t>do ano x9 estão apenas parcialmente completos. Com base nas demonstrações contábeis a seguir e nos dados adicionais de x9, preencha os valores que faltam nos espaços identificados.</t>
    </r>
  </si>
  <si>
    <t>BALANÇO PATRIMONIAL da Pongo's Paradise</t>
  </si>
  <si>
    <t>Saldo Inicial de caixa</t>
  </si>
  <si>
    <t>montante se refere ao pagamento de hospedagem em convenção que será realizada em março do próximo ano.</t>
  </si>
  <si>
    <t xml:space="preserve">Pelas reservas realizadas no ano, o hotel recebeu de seus hóspedes o valor de </t>
  </si>
  <si>
    <t>Recebimento de clientes x9</t>
  </si>
  <si>
    <t>Recebimento de clientes x8</t>
  </si>
  <si>
    <t xml:space="preserve">no ano de X9 e declarou dividendos no valor de </t>
  </si>
  <si>
    <t>no ano de X9.</t>
  </si>
  <si>
    <t>Pagamento gastos hospedagem</t>
  </si>
  <si>
    <t>Pagamento IR</t>
  </si>
  <si>
    <t>, sobre o qual teria que</t>
  </si>
  <si>
    <t>pagar uma taxa de corretagem de 6%.  O valor em uso do prédio caiu para</t>
  </si>
  <si>
    <t>O empréstimo constante no BP foi captado em dólares. A taxa de câmbio era de R$4/US$ em 31/12/x8 e de</t>
  </si>
  <si>
    <t>R$ 4,5/US$ em 31/12/x9. Os juros são de 10% ao ano e serão pagos no primeiro dia útil do ano seguinte.</t>
  </si>
  <si>
    <t>9-</t>
  </si>
  <si>
    <t>No ano de x9, foram pagos dividendos no valor de</t>
  </si>
  <si>
    <t>Pagamento de dividendos</t>
  </si>
  <si>
    <t>Pagamento logo</t>
  </si>
  <si>
    <t>Pagamento ar condicionado</t>
  </si>
  <si>
    <t>Saldo Final de caixa</t>
  </si>
  <si>
    <t xml:space="preserve"> Imposto de Renda a Pagar</t>
  </si>
  <si>
    <t>Os gastos com hospedagem e o Imposto de Renda do período foram inteiramente pagos em x9.</t>
  </si>
  <si>
    <t xml:space="preserve">A Cia Logística possui 10% do capital votante da Cia B. A Cia B gerou prejuízo de </t>
  </si>
  <si>
    <t>Questão 2</t>
  </si>
  <si>
    <t>Construção de um celeiro por</t>
  </si>
  <si>
    <t>Fornecimento de serviços de cuidados aos animais, no valor total de</t>
  </si>
  <si>
    <t>4-</t>
  </si>
  <si>
    <t>Aluguel de estábulos aos clientes, os quais pagaram</t>
  </si>
  <si>
    <t>Alpine Stables Inc</t>
  </si>
  <si>
    <t>Saldo inicial de Caixa</t>
  </si>
  <si>
    <t>Compra de ração a prazo, no valor de</t>
  </si>
  <si>
    <t>7-</t>
  </si>
  <si>
    <t>, integralmente pago em janeiro de x9.</t>
  </si>
  <si>
    <t>no mês de janeiro de x9.</t>
  </si>
  <si>
    <t>. 80% da ração foi consumida no mês.</t>
  </si>
  <si>
    <t>Pagamento da conta de água utilizada durante o mês, no valor de</t>
  </si>
  <si>
    <t>8-</t>
  </si>
  <si>
    <t>60% dos serviços prestados foram recebidos no mês de janeiro de x9 e o restante será recebido</t>
  </si>
  <si>
    <t>em fevereiro de x9.</t>
  </si>
  <si>
    <t xml:space="preserve">Pagamento de salários dos empregados da empresa, pelos serviços prestados durante o mês, no </t>
  </si>
  <si>
    <t>valor total de</t>
  </si>
  <si>
    <t>No final do mês, a empresa contratou uma apólice de seguro válida por 1 ano, cuja cobertura se</t>
  </si>
  <si>
    <t>inicia em 01 de fevereiro de x9. A fim de obter um desconto, a empresa pagou à vista o valor de</t>
  </si>
  <si>
    <t>10-</t>
  </si>
  <si>
    <t>,  qual será pago em fevereiro de x9.</t>
  </si>
  <si>
    <t>11-</t>
  </si>
  <si>
    <t>Visando a ampliação do celeiro, o qual já demonstrou ser insuficiente para atender a demanda dos</t>
  </si>
  <si>
    <t>clientes, a empresa captou um empréstimo bancário de</t>
  </si>
  <si>
    <t>, a ser pago em 2 anos.</t>
  </si>
  <si>
    <t>Sobre o empréstimo incidem juros de 5% ao ano, os quais serão pagos no final do contrato.</t>
  </si>
  <si>
    <t>12-</t>
  </si>
  <si>
    <t xml:space="preserve">No final do janeiro de x9, a empresa pagou dividendos de </t>
  </si>
  <si>
    <t>Aumento de capital</t>
  </si>
  <si>
    <t>Construção do celeiro</t>
  </si>
  <si>
    <t>Recebimento de clientes (serviços prestados em jan/x9)</t>
  </si>
  <si>
    <t>Recebimento pelo aluguel de estábulos usados em jan/x9</t>
  </si>
  <si>
    <t xml:space="preserve">Recebimento no valor de </t>
  </si>
  <si>
    <t>Recebimento antecipado de aluguel de estábulo</t>
  </si>
  <si>
    <t>Pagamento de conta de água</t>
  </si>
  <si>
    <t>Captação de empréstimo</t>
  </si>
  <si>
    <t>Pagamento de salários dos empregados</t>
  </si>
  <si>
    <t>Pagamento de prêmio de seguro</t>
  </si>
  <si>
    <t>pelo seguro contratado.</t>
  </si>
  <si>
    <t xml:space="preserve">O valor total da conta é de </t>
  </si>
  <si>
    <t>A empresa recebeu a conta de energia referente ao consumo de janeiro de x9.</t>
  </si>
  <si>
    <t>Acima 2 erros, zero</t>
  </si>
  <si>
    <t>Até 1 erro, meio certo</t>
  </si>
  <si>
    <t>2 erros ou mais, zero</t>
  </si>
  <si>
    <t>Obs: Se preferir, utilize a planilha anexa para a elaboração das demonstrações contábeis. Porém, não se esqueça</t>
  </si>
  <si>
    <r>
      <t xml:space="preserve">de transferir os saldos finais para as demonstrações contábeis acima. A planilha anexa </t>
    </r>
    <r>
      <rPr>
        <b/>
        <u/>
        <sz val="11"/>
        <color rgb="FF000000"/>
        <rFont val="Calibri"/>
        <family val="2"/>
        <scheme val="minor"/>
      </rPr>
      <t>NÃO SERÁ CORRIGIDA</t>
    </r>
    <r>
      <rPr>
        <sz val="11"/>
        <color rgb="FF000000"/>
        <rFont val="Calibri"/>
        <family val="2"/>
        <scheme val="minor"/>
      </rPr>
      <t>.</t>
    </r>
  </si>
  <si>
    <t>13-</t>
  </si>
  <si>
    <t>No final do janeiro de x9, a empresa aplicou</t>
  </si>
  <si>
    <t>em um CDB. Para obter um percentual</t>
  </si>
  <si>
    <t>mais elevado de rendimento, a empresa deve manter o recurso aplicado por 180 dias.</t>
  </si>
  <si>
    <t>Aplicação financeira</t>
  </si>
  <si>
    <t>, pelo aluguel de um estábulo a um cavalo de um cliente, o qual</t>
  </si>
  <si>
    <t>a cada um dos 5 sócios.</t>
  </si>
  <si>
    <t>Caixa das Atividades Operacionais</t>
  </si>
  <si>
    <t>Caixa das Atividades de Investimentos</t>
  </si>
  <si>
    <t>Caixa das Atividades de Financiamento</t>
  </si>
  <si>
    <t>BALANÇO - Cia Controladora</t>
  </si>
  <si>
    <t>DRE - Cia Controladora</t>
  </si>
  <si>
    <t>Ativo</t>
  </si>
  <si>
    <t>Contas a Pagar</t>
  </si>
  <si>
    <t>CMV</t>
  </si>
  <si>
    <t>Despesas</t>
  </si>
  <si>
    <t>TOTAL ATIVO</t>
  </si>
  <si>
    <t>TOTAL PASSIVO/PL</t>
  </si>
  <si>
    <t>Ativo Total Consolidado</t>
  </si>
  <si>
    <t>Resultado de Equivalência Patrimonial Consolidado</t>
  </si>
  <si>
    <t>Lucro Líquido Consolidado</t>
  </si>
  <si>
    <t>Patrimônio Líquido dos Controladores</t>
  </si>
  <si>
    <t>Participação dos Não Controladores no Patrimônio Líquido</t>
  </si>
  <si>
    <t>Resultado equivalência patrimonial</t>
  </si>
  <si>
    <t>Passivo + PL</t>
  </si>
  <si>
    <t>Investimentos na Cia "KLM"</t>
  </si>
  <si>
    <t>Part Ac Não Control.</t>
  </si>
  <si>
    <t xml:space="preserve">Questão 5 </t>
  </si>
  <si>
    <t>Questão 3</t>
  </si>
  <si>
    <t>BALANÇO - Cia ABC</t>
  </si>
  <si>
    <t>DRE - Cia ABC</t>
  </si>
  <si>
    <t>cada resposta</t>
  </si>
  <si>
    <t>A Cia Controladora possui 70% da Cia Controlada ABC. Não existem operações ou saldos intercompanhias. Consolide os saldos referentes ao ano de x1, apresentados abaixo, e informe os saldos solicitados nos espaços indicados.</t>
  </si>
  <si>
    <r>
      <t xml:space="preserve">OBSERVAÇÃO: </t>
    </r>
    <r>
      <rPr>
        <sz val="12"/>
        <color theme="1"/>
        <rFont val="Calibri"/>
        <family val="2"/>
        <scheme val="minor"/>
      </rPr>
      <t xml:space="preserve">Informar </t>
    </r>
    <r>
      <rPr>
        <u/>
        <sz val="12"/>
        <color theme="1"/>
        <rFont val="Calibri"/>
        <family val="2"/>
        <scheme val="minor"/>
      </rPr>
      <t>"Zero"</t>
    </r>
    <r>
      <rPr>
        <sz val="12"/>
        <color theme="1"/>
        <rFont val="Calibri"/>
        <family val="2"/>
        <scheme val="minor"/>
      </rPr>
      <t xml:space="preserve"> no campo correspondente, caso o saldo após consolidação seja </t>
    </r>
    <r>
      <rPr>
        <u/>
        <sz val="12"/>
        <color theme="1"/>
        <rFont val="Calibri"/>
        <family val="2"/>
        <scheme val="minor"/>
      </rPr>
      <t>nulo</t>
    </r>
    <r>
      <rPr>
        <sz val="12"/>
        <color theme="1"/>
        <rFont val="Calibri"/>
        <family val="2"/>
        <scheme val="minor"/>
      </rPr>
      <t xml:space="preserve">. Campos deixados em branco serão interpretados como </t>
    </r>
    <r>
      <rPr>
        <u/>
        <sz val="12"/>
        <color theme="1"/>
        <rFont val="Calibri"/>
        <family val="2"/>
        <scheme val="minor"/>
      </rPr>
      <t>não respondidos</t>
    </r>
    <r>
      <rPr>
        <sz val="12"/>
        <color theme="1"/>
        <rFont val="Calibri"/>
        <family val="2"/>
        <scheme val="minor"/>
      </rPr>
      <t>.</t>
    </r>
  </si>
  <si>
    <t>Investimentos na Cia "ABC"</t>
  </si>
  <si>
    <t>Questão 6</t>
  </si>
  <si>
    <t>Com base nas demonstrações contábeis e índices anexos, responda às questões que se seguem:</t>
  </si>
  <si>
    <t>ROA = Lucro Líquido ÷ Ativo Total Médio Ou ROA = Margem Líquida x Giro do Ativo</t>
  </si>
  <si>
    <t>Giro do Ativo = Receita de Vendas ÷ Ativo Total Médio</t>
  </si>
  <si>
    <t>Prazo médio de recebimento (PMR, em dias) = Contas a Receber Média ÷ (Receita de Vendas ÷ 360)</t>
  </si>
  <si>
    <t>Prazo médio de estoques (PME, em dias) = Estoque Médio ÷ (Custo dos Produtos Vendidos ÷ 360)</t>
  </si>
  <si>
    <t>Prazo médio de pagamento (PMO, em dias) = Fornecedores Médio ÷ (Compras ÷ 360)</t>
  </si>
  <si>
    <t>Empresa em análise</t>
  </si>
  <si>
    <t>Índices Financeiros:</t>
  </si>
  <si>
    <t>Balanço Patrimonial de dezembro de 2018 (em R$ milhões):</t>
  </si>
  <si>
    <t>Lucro antes do resultado financeiro (EBIT)</t>
  </si>
  <si>
    <t>Depreciação, Amortização e Exaustão</t>
  </si>
  <si>
    <t>Reservas de Lucros</t>
  </si>
  <si>
    <t>Demonstração do Resultado
Ano encerrado em dezembro de 2018 (em R$ milhões):</t>
  </si>
  <si>
    <t>Demonstração dos Fluxos de Caixa
Ano encerrado em dezembro de 2018 (em R$ milhões):</t>
  </si>
  <si>
    <t>Prazo médio de recebimento - PMR (dias)</t>
  </si>
  <si>
    <t>Prazo médio de estoques - PME (dias)</t>
  </si>
  <si>
    <t>Prazo médio de pagamento - PMP (dias)</t>
  </si>
  <si>
    <t>Índice de cobertura de juros</t>
  </si>
  <si>
    <t>Alavancagem Financeira</t>
  </si>
  <si>
    <t>Alavancagem Financeira = Ativo Total ÷ Patrimônio Líquido</t>
  </si>
  <si>
    <t>Índice de cobertura de juros = Lucro antes dos Juros e dos Tributos sobre o Lucro ÷ Despesa de Juros</t>
  </si>
  <si>
    <t>6.1</t>
  </si>
  <si>
    <t>Considerando que a empresa não fez aquisições de novas empresas, não vendeu participações societárias no período e nem tenha recebido dividendos, o resultado de equivalência patrimonial:</t>
  </si>
  <si>
    <t>a)</t>
  </si>
  <si>
    <t>b)</t>
  </si>
  <si>
    <t>C)</t>
  </si>
  <si>
    <t>6.2</t>
  </si>
  <si>
    <t>No que tange aos empréstimos, observa-se que, em 2018, a empresa:</t>
  </si>
  <si>
    <t>6.3</t>
  </si>
  <si>
    <t>A empresa demonstra liquidez suficiente para honrar suas obrigações de curto prazo.</t>
  </si>
  <si>
    <t>Não é possível concluir com as informações disponíveis.</t>
  </si>
  <si>
    <t>Deve ter sido positivo no período.</t>
  </si>
  <si>
    <t>Deve ter sido negativo no período.</t>
  </si>
  <si>
    <t>A empresa demonstra liquidez insuficiente para honrar suas obrigações de curto prazo.</t>
  </si>
  <si>
    <t>6.4</t>
  </si>
  <si>
    <t>No que tange à liquidez:</t>
  </si>
  <si>
    <t>6.5</t>
  </si>
  <si>
    <t>Os acionistas devem estar satisfeitos com o retorno que a empresa os gerou.</t>
  </si>
  <si>
    <t>Os acionistas devem estar insatisfeitos com o retorno que a empresa os gerou.</t>
  </si>
  <si>
    <t>6.6</t>
  </si>
  <si>
    <t>A empresa tem utilizado seus ativos de forma mais eficiente, quando comparado aos seus concorrentes.</t>
  </si>
  <si>
    <t>A empresa tem utilizado seus ativos de forma menos eficiente, quando comparado aos seus concorrentes.</t>
  </si>
  <si>
    <t>6.7</t>
  </si>
  <si>
    <t>A empresa está menos endividada que a média da sua indústria.</t>
  </si>
  <si>
    <t>A empresa está mais endividada que a média da sua indústria.</t>
  </si>
  <si>
    <t>6.8</t>
  </si>
  <si>
    <t>Em 2018, no que diz respeito ao capital de giro:</t>
  </si>
  <si>
    <t>6.9</t>
  </si>
  <si>
    <t>Seguem abaixo os índices financeiros da empresa x índices médios da indústria na qual ela atua, referentes ao ano de 2018:</t>
  </si>
  <si>
    <t>Em 2018, a empresa realizou vendas de ativo imobilizado e obteve:</t>
  </si>
  <si>
    <t>Ganho na venda</t>
  </si>
  <si>
    <t>Perda na venda</t>
  </si>
  <si>
    <t>6.10</t>
  </si>
  <si>
    <t>Analisando as compras de ativo imobilizado realizadas pela empresa, em 2018, é possível concluir que:</t>
  </si>
  <si>
    <t>Foi uma pagadora líquida.</t>
  </si>
  <si>
    <t>Foi uma captadora líquida.</t>
  </si>
  <si>
    <t>No que tange à rentabilidade gerada aos acionistas:</t>
  </si>
  <si>
    <t>No que tange à eficiência na utilização dos ativos para a geração de receitas na empresa:</t>
  </si>
  <si>
    <t>No que diz respeito ao endividamento:</t>
  </si>
  <si>
    <t>Ela investiu montante suficiente para manter, minimamente, a sua capacidade de funcionamento.</t>
  </si>
  <si>
    <t>Ela não investiu montante suficiente para manter, minimamente, a sua capacidade de funcionamento.</t>
  </si>
  <si>
    <t>cada pergunta</t>
  </si>
  <si>
    <t>cada item (27 itens no total)</t>
  </si>
  <si>
    <r>
      <t xml:space="preserve">A empresa </t>
    </r>
    <r>
      <rPr>
        <b/>
        <sz val="11"/>
        <color rgb="FF000000"/>
        <rFont val="Calibri"/>
        <family val="2"/>
        <scheme val="minor"/>
      </rPr>
      <t xml:space="preserve">Alpine Stables Inc </t>
    </r>
    <r>
      <rPr>
        <sz val="11"/>
        <color rgb="FF000000"/>
        <rFont val="Calibri"/>
        <family val="2"/>
        <scheme val="minor"/>
      </rPr>
      <t>foi fundada em 01 de janeiro de x9. A empresa oferece serviços de estábulos, cuidado de animais, bem como espaços para corridas e apresentações de cavalos. Você foi contratado como o novo assistente do controller. Durante o primeiro mês de operações, ocorreram as seguintes transações. Com base nelas,  elabore a Demonstração dos Fluxos de Caixa do mês de janeiro de x9.</t>
    </r>
  </si>
  <si>
    <t xml:space="preserve">Recebimento de capital dos 5 sócios, em dinheiro, no total de </t>
  </si>
  <si>
    <t>Aquisição de terreno em 1/1/x9 por</t>
  </si>
  <si>
    <t>, para construção de celeiro, pago à vista.</t>
  </si>
  <si>
    <t>será usado durante o mês de fevereiro.</t>
  </si>
  <si>
    <t>14-</t>
  </si>
  <si>
    <t>Aquisição de terreno</t>
  </si>
  <si>
    <t>demonstração do resultado do exercício, considerando 2 métodos de avaliação dos estoques:</t>
  </si>
  <si>
    <r>
      <rPr>
        <b/>
        <sz val="12"/>
        <rFont val="Calibri"/>
        <family val="2"/>
        <scheme val="minor"/>
      </rPr>
      <t>Q2)</t>
    </r>
    <r>
      <rPr>
        <sz val="12"/>
        <rFont val="Calibri"/>
        <family val="2"/>
        <scheme val="minor"/>
      </rPr>
      <t xml:space="preserve"> Comparando os métodos do PEPS e MPM, qual deles é preferível, no que tange ao lucro líquido</t>
    </r>
  </si>
  <si>
    <t>c. MPM (Custo Médio Ponderado)</t>
  </si>
  <si>
    <t>a. PEPS (Primeiro que entra, primeiro que sai)</t>
  </si>
  <si>
    <t>Por outro lado, sob a ótica do imposto de renda, o método do MPM é preferível, dado que este</t>
  </si>
  <si>
    <t>produz o menor lucro antes do imposto de renda, uma vez que ele é afetado por custos mais caros,</t>
  </si>
  <si>
    <t xml:space="preserve">por contemplarem em sua média os custos mais recentes. Sendo assim, a empresa possui uma </t>
  </si>
  <si>
    <t>Assumindo que o prazo concedido de crédito pelas empresas do setor seja similar:</t>
  </si>
  <si>
    <t>Percebe se que o sistema de cobrança da empresa é mais eficaz do que a média setorial.</t>
  </si>
  <si>
    <t>Percebe se que o sistema de cobrança da empresa é menos eficaz do que a média setorial.</t>
  </si>
  <si>
    <t>Os itens componentes do capital de giro geraram caixa no periodo.</t>
  </si>
  <si>
    <t>Os itens que compõem o capital de giro consumiram caixa da empresa.</t>
  </si>
  <si>
    <t>Percebe-se que o sistema de cobrança da empresa é mais eficaz do que a média setorial.</t>
  </si>
  <si>
    <t>Percebe-se que o sistema de cobrança da empresa é menos eficaz do que a média setorial.</t>
  </si>
  <si>
    <t>Variações no Capital de Giro</t>
  </si>
  <si>
    <t>ATIVO</t>
  </si>
  <si>
    <t>Passivo não Circulante</t>
  </si>
  <si>
    <t>CONTAS PATRIMONIAIS</t>
  </si>
  <si>
    <t>TRANSAÇÕES "Sebo nas Canelas" até 31/12</t>
  </si>
  <si>
    <t>BP início de outubro</t>
  </si>
  <si>
    <t>inicial</t>
  </si>
  <si>
    <t>a</t>
  </si>
  <si>
    <t>b</t>
  </si>
  <si>
    <t>c</t>
  </si>
  <si>
    <t>d</t>
  </si>
  <si>
    <t>e</t>
  </si>
  <si>
    <t>f</t>
  </si>
  <si>
    <t>g</t>
  </si>
  <si>
    <t>h</t>
  </si>
  <si>
    <t>i</t>
  </si>
  <si>
    <t>j</t>
  </si>
  <si>
    <t>k</t>
  </si>
  <si>
    <t>BP fim de dezembro</t>
  </si>
  <si>
    <t xml:space="preserve">   Caixa</t>
  </si>
  <si>
    <t xml:space="preserve">   Contas a Receber</t>
  </si>
  <si>
    <t xml:space="preserve">   Equipamento</t>
  </si>
  <si>
    <t xml:space="preserve">   (-) Depreciação Acum</t>
  </si>
  <si>
    <t xml:space="preserve">   Caminhões</t>
  </si>
  <si>
    <t>PASSIVO E PL</t>
  </si>
  <si>
    <t xml:space="preserve">   Salário a Pagar</t>
  </si>
  <si>
    <t xml:space="preserve">   Provisão IR e C Social</t>
  </si>
  <si>
    <t xml:space="preserve">   Empréstimo CP</t>
  </si>
  <si>
    <t xml:space="preserve">   Juros a Pagar</t>
  </si>
  <si>
    <t>Empréstimo LP</t>
  </si>
  <si>
    <t xml:space="preserve">   Capital Social</t>
  </si>
  <si>
    <t xml:space="preserve">   Resultado Acumulado</t>
  </si>
  <si>
    <t>CONTAS DE RESULTADO</t>
  </si>
  <si>
    <t>Receita de Serviços</t>
  </si>
  <si>
    <t>Custo do Serviço Prestado</t>
  </si>
  <si>
    <t>Despesas Comerciais</t>
  </si>
  <si>
    <t>Despesas Administrativas</t>
  </si>
  <si>
    <t>Lucro Operacional</t>
  </si>
  <si>
    <t>Despesas Financeiras</t>
  </si>
  <si>
    <t>Lucro antes de IR</t>
  </si>
  <si>
    <t xml:space="preserve">Imposto de Renda </t>
  </si>
  <si>
    <t>Balanço Patrimonial 31/12</t>
  </si>
  <si>
    <t>Demonstração de Resultados</t>
  </si>
  <si>
    <t>Total do Passivo e PL</t>
  </si>
  <si>
    <t>As respostas deverão ser colocadas na folha de questões</t>
  </si>
  <si>
    <t>3.1 - não foi empresa de serviço</t>
  </si>
  <si>
    <t>3.2 - pela análise de fluxo de caixa, em 2018, foi uma pagadora liquida (mais pagou do que captou empréstimos)</t>
  </si>
  <si>
    <t>3;3 - assumindo que o prazo concedido de crédito pelas empresas do setor seja similar, o sistema de cobrança da empresa em estudo é mais eficaz do que a média setorial</t>
  </si>
  <si>
    <t>3.4 - no que tange a rentabilidade gerada aos acionistas, os acionistas devem estar insatisfeitos com a rentabilidade que a empresa gerou</t>
  </si>
  <si>
    <t>3.5 - no que tange a eficiencia na utilização dos ativos para a geração de receitas na empresa, a empresa tem utilizado seus ativos de forma mais eficiente em comparação com os concorrentes</t>
  </si>
  <si>
    <t>3.6 - no que diz respeito ao endividamente, a empresa está mais endividade do que a media da industria</t>
  </si>
  <si>
    <t>3.7 - pela análise do fluxo de caixa, percebe-se que em 2018, os itens componentes do capital de giro consumira caixa no período</t>
  </si>
  <si>
    <t>3.8 - percebe-se que os sócios fizeram aporte de capital social em 2018, falso</t>
  </si>
  <si>
    <t>3.9 - percebe-se que os estoques da empresa diminuiram em 2018, falso</t>
  </si>
  <si>
    <t>Uma empresa pode ser lucrativa e ainda assim fechar por problemas de fluxo de caixa. Se ela precisa pagar por materiais em janeiro, mas não recebem dos clientes até junho, precisam de um empréstimo para sobreviver até lá. Se o empréstimo não sair – mesmo que as suas vendas estejam garantidas no futuro – isso de nada adiantará. Às vezes os próprios clientes pagarão adiantado, oferecendo na prática um empréstimo sem juros a uma empresa para ajudar a cobrir o fluxo de caixa</t>
  </si>
  <si>
    <t>Lucro é o dinheiro que fica após o pagamento das despesas. O Lucro é um resultado econômico e mede o quanto a empresa está gerando de riqueza em um determinado período. É um resultado do total de vendas (receita bruta) menos custos, despesas e impostos.</t>
  </si>
  <si>
    <t>O Saldo de Caixa é um resultado proveniente do regime de caixa, normalmente representado pelo relatório de Entrada e Saída de Caixa. O lucro é um resultado proveniente do regime de competência, representado normalmente pelo relatório de Demonstração do Resultado (DR).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</si>
</sst>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3" formatCode="_(* #,##0.00_);_(* \(#,##0.00\);_(* &quot;-&quot;??_);_(@_)"/>
    <numFmt numFmtId="164" formatCode="&quot;R$&quot;\ #,##0;\-&quot;R$&quot;\ #,##0"/>
    <numFmt numFmtId="165" formatCode="_-&quot;R$&quot;\ * #,##0.00_-;\-&quot;R$&quot;\ * #,##0.00_-;_-&quot;R$&quot;\ * &quot;-&quot;??_-;_-@_-"/>
    <numFmt numFmtId="166" formatCode="_-* #,##0.00_-;\-* #,##0.00_-;_-* &quot;-&quot;??_-;_-@_-"/>
    <numFmt numFmtId="167" formatCode="_(* #,##0_);_(* \(#,##0\);_(* \-??_);_(@_)"/>
    <numFmt numFmtId="168" formatCode="_(* #,##0_);_(* \(#,##0\);_(* &quot;-&quot;??_);_(@_)"/>
    <numFmt numFmtId="169" formatCode="_(* #,##0_);_(* \(#,##0\);_(* \-?_);_(@_)"/>
    <numFmt numFmtId="170" formatCode="_([$R$ -416]* #,##0_);_([$R$ -416]* \(#,##0\);_([$R$ -416]* &quot;-&quot;??_);_(@_)"/>
    <numFmt numFmtId="171" formatCode="[$$-409]#,##0"/>
    <numFmt numFmtId="172" formatCode="_([$$-409]* #,##0_);_([$$-409]* \(#,##0\);_([$$-409]* &quot;-&quot;??_);_(@_)"/>
    <numFmt numFmtId="173" formatCode="_(&quot;R$ &quot;* #,##0_);_(&quot;R$ &quot;* \(#,##0\);_(&quot;R$ &quot;* \-_);_(@_)"/>
    <numFmt numFmtId="174" formatCode="_-* #,##0_-;\-* #,##0_-;_-* &quot;-&quot;??_-;_-@_-"/>
    <numFmt numFmtId="175" formatCode="_-* #,##0.0_-;\-* #,##0.0_-;_-* &quot;-&quot;??_-;_-@_-"/>
    <numFmt numFmtId="176" formatCode="&quot;R$&quot;\ #,##0"/>
    <numFmt numFmtId="177" formatCode="0.000"/>
    <numFmt numFmtId="178" formatCode="0.0%"/>
    <numFmt numFmtId="179" formatCode="0.0"/>
  </numFmts>
  <fonts count="58" x14ac:knownFonts="1">
    <font>
      <sz val="11"/>
      <color theme="1"/>
      <name val="Calibri"/>
      <family val="2"/>
      <scheme val="minor"/>
    </font>
    <font>
      <sz val="11"/>
      <color theme="1"/>
      <name val="Calibri"/>
      <family val="2"/>
      <scheme val="minor"/>
    </font>
    <font>
      <sz val="11"/>
      <color rgb="FFFF0000"/>
      <name val="Calibri"/>
      <family val="2"/>
      <scheme val="minor"/>
    </font>
    <font>
      <b/>
      <sz val="11"/>
      <name val="Calibri"/>
      <family val="2"/>
    </font>
    <font>
      <sz val="11"/>
      <name val="Calibri"/>
      <family val="2"/>
    </font>
    <font>
      <b/>
      <sz val="11"/>
      <color rgb="FFFF0000"/>
      <name val="Calibri"/>
      <family val="2"/>
      <scheme val="minor"/>
    </font>
    <font>
      <b/>
      <sz val="11"/>
      <color rgb="FF000000"/>
      <name val="Calibri"/>
      <family val="2"/>
    </font>
    <font>
      <sz val="11"/>
      <color rgb="FF000000"/>
      <name val="Calibri"/>
      <family val="2"/>
    </font>
    <font>
      <sz val="11"/>
      <color rgb="FFFF0000"/>
      <name val="Calibri"/>
      <family val="2"/>
    </font>
    <font>
      <b/>
      <sz val="11"/>
      <color rgb="FFFF0000"/>
      <name val="Calibri"/>
      <family val="2"/>
    </font>
    <font>
      <b/>
      <i/>
      <u/>
      <sz val="11"/>
      <name val="Calibri"/>
      <family val="2"/>
    </font>
    <font>
      <b/>
      <u val="singleAccounting"/>
      <sz val="11"/>
      <color rgb="FFFF0000"/>
      <name val="Calibri"/>
      <family val="2"/>
    </font>
    <font>
      <sz val="11"/>
      <name val="Calibri"/>
      <family val="2"/>
      <scheme val="minor"/>
    </font>
    <font>
      <b/>
      <u/>
      <sz val="11"/>
      <color rgb="FFFF0000"/>
      <name val="Calibri"/>
      <family val="2"/>
    </font>
    <font>
      <b/>
      <i/>
      <u/>
      <sz val="11"/>
      <color rgb="FFFF0000"/>
      <name val="Calibri"/>
      <family val="2"/>
    </font>
    <font>
      <u/>
      <sz val="11"/>
      <color rgb="FFFF0000"/>
      <name val="Calibri"/>
      <family val="2"/>
      <scheme val="minor"/>
    </font>
    <font>
      <sz val="12"/>
      <color theme="1"/>
      <name val="Calibri"/>
      <family val="2"/>
      <scheme val="minor"/>
    </font>
    <font>
      <b/>
      <sz val="12"/>
      <color theme="1"/>
      <name val="Arial"/>
      <family val="2"/>
    </font>
    <font>
      <sz val="12"/>
      <color theme="1"/>
      <name val="Arial"/>
      <family val="2"/>
    </font>
    <font>
      <u/>
      <sz val="12"/>
      <color theme="1"/>
      <name val="Arial"/>
      <family val="2"/>
    </font>
    <font>
      <sz val="8"/>
      <color theme="1"/>
      <name val="Arial"/>
      <family val="2"/>
    </font>
    <font>
      <b/>
      <u/>
      <sz val="12"/>
      <color theme="1"/>
      <name val="Arial"/>
      <family val="2"/>
    </font>
    <font>
      <sz val="11"/>
      <color rgb="FF000000"/>
      <name val="Calibri"/>
      <family val="2"/>
      <charset val="1"/>
    </font>
    <font>
      <sz val="11"/>
      <color rgb="FF000000"/>
      <name val="Calibri"/>
      <family val="2"/>
      <scheme val="minor"/>
    </font>
    <font>
      <b/>
      <sz val="12"/>
      <name val="Calibri"/>
      <family val="2"/>
      <scheme val="minor"/>
    </font>
    <font>
      <sz val="12"/>
      <color rgb="FF000000"/>
      <name val="Calibri"/>
      <family val="2"/>
      <scheme val="minor"/>
    </font>
    <font>
      <b/>
      <sz val="12"/>
      <color rgb="FF000000"/>
      <name val="Calibri"/>
      <family val="2"/>
      <scheme val="minor"/>
    </font>
    <font>
      <sz val="12"/>
      <name val="Calibri"/>
      <family val="2"/>
      <scheme val="minor"/>
    </font>
    <font>
      <b/>
      <sz val="12"/>
      <color theme="1"/>
      <name val="Calibri"/>
      <family val="2"/>
      <scheme val="minor"/>
    </font>
    <font>
      <sz val="12"/>
      <color rgb="FFFF0000"/>
      <name val="Calibri"/>
      <family val="2"/>
      <scheme val="minor"/>
    </font>
    <font>
      <b/>
      <sz val="12"/>
      <color rgb="FFFF0000"/>
      <name val="Calibri"/>
      <family val="2"/>
      <scheme val="minor"/>
    </font>
    <font>
      <b/>
      <u/>
      <sz val="12"/>
      <name val="Calibri"/>
      <family val="2"/>
      <scheme val="minor"/>
    </font>
    <font>
      <b/>
      <u/>
      <sz val="12"/>
      <color rgb="FFFF0000"/>
      <name val="Calibri"/>
      <family val="2"/>
      <scheme val="minor"/>
    </font>
    <font>
      <b/>
      <sz val="10"/>
      <color rgb="FFFF0000"/>
      <name val="Calibri"/>
      <family val="2"/>
      <scheme val="minor"/>
    </font>
    <font>
      <b/>
      <sz val="11"/>
      <color theme="0"/>
      <name val="Calibri"/>
      <family val="2"/>
      <scheme val="minor"/>
    </font>
    <font>
      <sz val="11"/>
      <color theme="0"/>
      <name val="Calibri"/>
      <family val="2"/>
      <scheme val="minor"/>
    </font>
    <font>
      <b/>
      <u/>
      <sz val="11"/>
      <color rgb="FFFF0000"/>
      <name val="Calibri"/>
      <family val="2"/>
      <scheme val="minor"/>
    </font>
    <font>
      <b/>
      <sz val="11"/>
      <name val="Calibri"/>
      <family val="2"/>
      <scheme val="minor"/>
    </font>
    <font>
      <b/>
      <sz val="11"/>
      <color rgb="FF000000"/>
      <name val="Calibri"/>
      <family val="2"/>
      <scheme val="minor"/>
    </font>
    <font>
      <b/>
      <u/>
      <sz val="11"/>
      <name val="Calibri"/>
      <family val="2"/>
      <scheme val="minor"/>
    </font>
    <font>
      <u val="singleAccounting"/>
      <sz val="11"/>
      <color rgb="FF000000"/>
      <name val="Calibri"/>
      <family val="2"/>
      <scheme val="minor"/>
    </font>
    <font>
      <u/>
      <sz val="11"/>
      <name val="Calibri"/>
      <family val="2"/>
      <scheme val="minor"/>
    </font>
    <font>
      <u val="singleAccounting"/>
      <sz val="11"/>
      <color rgb="FFFF0000"/>
      <name val="Calibri"/>
      <family val="2"/>
      <scheme val="minor"/>
    </font>
    <font>
      <sz val="11"/>
      <color indexed="10"/>
      <name val="Calibri"/>
      <family val="2"/>
      <scheme val="minor"/>
    </font>
    <font>
      <i/>
      <sz val="11"/>
      <color rgb="FF000000"/>
      <name val="Calibri"/>
      <family val="2"/>
      <scheme val="minor"/>
    </font>
    <font>
      <i/>
      <sz val="11"/>
      <name val="Calibri"/>
      <family val="2"/>
      <scheme val="minor"/>
    </font>
    <font>
      <b/>
      <sz val="11"/>
      <color indexed="10"/>
      <name val="Calibri"/>
      <family val="2"/>
      <scheme val="minor"/>
    </font>
    <font>
      <sz val="9"/>
      <color rgb="FF000000"/>
      <name val="Calibri"/>
      <family val="2"/>
      <scheme val="minor"/>
    </font>
    <font>
      <sz val="10"/>
      <name val="Calibri"/>
      <family val="2"/>
      <scheme val="minor"/>
    </font>
    <font>
      <b/>
      <sz val="10.5"/>
      <color rgb="FF000000"/>
      <name val="Calibri"/>
      <family val="2"/>
      <scheme val="minor"/>
    </font>
    <font>
      <b/>
      <u/>
      <sz val="11"/>
      <color rgb="FF000000"/>
      <name val="Calibri"/>
      <family val="2"/>
      <scheme val="minor"/>
    </font>
    <font>
      <u/>
      <sz val="12"/>
      <color theme="1"/>
      <name val="Calibri"/>
      <family val="2"/>
      <scheme val="minor"/>
    </font>
    <font>
      <u val="singleAccounting"/>
      <sz val="12"/>
      <color theme="1"/>
      <name val="Arial"/>
      <family val="2"/>
    </font>
    <font>
      <b/>
      <sz val="18"/>
      <color theme="1"/>
      <name val="Times New Roman"/>
      <family val="1"/>
    </font>
    <font>
      <sz val="11"/>
      <color theme="1"/>
      <name val="Arial"/>
      <family val="2"/>
    </font>
    <font>
      <b/>
      <sz val="11"/>
      <color theme="1"/>
      <name val="Arial"/>
      <family val="2"/>
    </font>
    <font>
      <b/>
      <i/>
      <sz val="11"/>
      <color theme="1"/>
      <name val="Arial"/>
      <family val="2"/>
    </font>
    <font>
      <b/>
      <u val="singleAccounting"/>
      <sz val="12"/>
      <color theme="1"/>
      <name val="Arial"/>
      <family val="2"/>
    </font>
  </fonts>
  <fills count="11">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rgb="FF92D050"/>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FF0000"/>
        <bgColor indexed="64"/>
      </patternFill>
    </fill>
    <fill>
      <patternFill patternType="solid">
        <fgColor theme="6" tint="0.39997558519241921"/>
        <bgColor indexed="64"/>
      </patternFill>
    </fill>
  </fills>
  <borders count="4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bottom style="dashed">
        <color auto="1"/>
      </bottom>
      <diagonal/>
    </border>
    <border>
      <left/>
      <right/>
      <top style="dashed">
        <color auto="1"/>
      </top>
      <bottom style="dashed">
        <color auto="1"/>
      </bottom>
      <diagonal/>
    </border>
    <border>
      <left/>
      <right style="thin">
        <color indexed="64"/>
      </right>
      <top style="dotted">
        <color indexed="64"/>
      </top>
      <bottom style="dotted">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diagonal/>
    </border>
    <border>
      <left style="thin">
        <color indexed="64"/>
      </left>
      <right style="thin">
        <color indexed="64"/>
      </right>
      <top/>
      <bottom style="dashed">
        <color indexed="64"/>
      </bottom>
      <diagonal/>
    </border>
    <border>
      <left style="thin">
        <color indexed="64"/>
      </left>
      <right style="thin">
        <color indexed="64"/>
      </right>
      <top style="dashed">
        <color indexed="64"/>
      </top>
      <bottom style="dashed">
        <color indexed="64"/>
      </bottom>
      <diagonal/>
    </border>
    <border>
      <left style="thin">
        <color indexed="64"/>
      </left>
      <right style="thin">
        <color indexed="64"/>
      </right>
      <top style="dashed">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dotted">
        <color indexed="64"/>
      </bottom>
      <diagonal/>
    </border>
    <border>
      <left/>
      <right style="thin">
        <color indexed="64"/>
      </right>
      <top style="medium">
        <color indexed="64"/>
      </top>
      <bottom style="dotted">
        <color indexed="64"/>
      </bottom>
      <diagonal/>
    </border>
    <border>
      <left style="thin">
        <color indexed="64"/>
      </left>
      <right style="thin">
        <color indexed="64"/>
      </right>
      <top style="dotted">
        <color indexed="64"/>
      </top>
      <bottom style="dashed">
        <color indexed="64"/>
      </bottom>
      <diagonal/>
    </border>
    <border>
      <left/>
      <right style="thin">
        <color indexed="64"/>
      </right>
      <top style="dotted">
        <color indexed="64"/>
      </top>
      <bottom style="dashed">
        <color indexed="64"/>
      </bottom>
      <diagonal/>
    </border>
    <border>
      <left/>
      <right/>
      <top style="thin">
        <color indexed="64"/>
      </top>
      <bottom style="double">
        <color indexed="64"/>
      </bottom>
      <diagonal/>
    </border>
    <border>
      <left style="thin">
        <color indexed="64"/>
      </left>
      <right style="thin">
        <color indexed="64"/>
      </right>
      <top style="dotted">
        <color indexed="64"/>
      </top>
      <bottom style="medium">
        <color indexed="64"/>
      </bottom>
      <diagonal/>
    </border>
    <border>
      <left style="thin">
        <color indexed="64"/>
      </left>
      <right/>
      <top/>
      <bottom style="dashed">
        <color auto="1"/>
      </bottom>
      <diagonal/>
    </border>
    <border>
      <left/>
      <right style="thin">
        <color indexed="64"/>
      </right>
      <top/>
      <bottom style="dashed">
        <color auto="1"/>
      </bottom>
      <diagonal/>
    </border>
    <border>
      <left style="thin">
        <color indexed="64"/>
      </left>
      <right/>
      <top style="dashed">
        <color auto="1"/>
      </top>
      <bottom style="dashed">
        <color auto="1"/>
      </bottom>
      <diagonal/>
    </border>
    <border>
      <left/>
      <right style="thin">
        <color indexed="64"/>
      </right>
      <top style="dashed">
        <color auto="1"/>
      </top>
      <bottom style="dashed">
        <color auto="1"/>
      </bottom>
      <diagonal/>
    </border>
    <border>
      <left style="thin">
        <color indexed="64"/>
      </left>
      <right style="thin">
        <color indexed="64"/>
      </right>
      <top/>
      <bottom style="thin">
        <color indexed="64"/>
      </bottom>
      <diagonal/>
    </border>
    <border>
      <left style="double">
        <color indexed="64"/>
      </left>
      <right style="hair">
        <color indexed="64"/>
      </right>
      <top style="double">
        <color indexed="64"/>
      </top>
      <bottom style="hair">
        <color indexed="64"/>
      </bottom>
      <diagonal/>
    </border>
    <border>
      <left style="hair">
        <color indexed="64"/>
      </left>
      <right style="hair">
        <color indexed="64"/>
      </right>
      <top style="double">
        <color indexed="64"/>
      </top>
      <bottom style="hair">
        <color indexed="64"/>
      </bottom>
      <diagonal/>
    </border>
    <border>
      <left style="hair">
        <color indexed="64"/>
      </left>
      <right style="double">
        <color indexed="64"/>
      </right>
      <top style="double">
        <color indexed="64"/>
      </top>
      <bottom style="hair">
        <color indexed="64"/>
      </bottom>
      <diagonal/>
    </border>
    <border>
      <left style="double">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double">
        <color indexed="64"/>
      </right>
      <top style="hair">
        <color indexed="64"/>
      </top>
      <bottom style="hair">
        <color indexed="64"/>
      </bottom>
      <diagonal/>
    </border>
    <border>
      <left style="double">
        <color indexed="64"/>
      </left>
      <right style="hair">
        <color indexed="64"/>
      </right>
      <top style="hair">
        <color indexed="64"/>
      </top>
      <bottom style="double">
        <color indexed="64"/>
      </bottom>
      <diagonal/>
    </border>
    <border>
      <left style="hair">
        <color indexed="64"/>
      </left>
      <right style="hair">
        <color indexed="64"/>
      </right>
      <top style="hair">
        <color indexed="64"/>
      </top>
      <bottom style="double">
        <color indexed="64"/>
      </bottom>
      <diagonal/>
    </border>
    <border>
      <left style="hair">
        <color indexed="64"/>
      </left>
      <right style="double">
        <color indexed="64"/>
      </right>
      <top style="hair">
        <color indexed="64"/>
      </top>
      <bottom style="double">
        <color indexed="64"/>
      </bottom>
      <diagonal/>
    </border>
    <border>
      <left style="double">
        <color indexed="64"/>
      </left>
      <right style="double">
        <color indexed="64"/>
      </right>
      <top style="double">
        <color indexed="64"/>
      </top>
      <bottom style="double">
        <color indexed="64"/>
      </bottom>
      <diagonal/>
    </border>
  </borders>
  <cellStyleXfs count="8">
    <xf numFmtId="0" fontId="0" fillId="0" borderId="0"/>
    <xf numFmtId="166" fontId="1" fillId="0" borderId="0" applyFont="0" applyFill="0" applyBorder="0" applyAlignment="0" applyProtection="0"/>
    <xf numFmtId="165" fontId="1" fillId="0" borderId="0" applyFont="0" applyFill="0" applyBorder="0" applyAlignment="0" applyProtection="0"/>
    <xf numFmtId="166" fontId="1" fillId="0" borderId="0" applyFont="0" applyFill="0" applyBorder="0" applyAlignment="0" applyProtection="0"/>
    <xf numFmtId="0" fontId="16" fillId="0" borderId="0"/>
    <xf numFmtId="9" fontId="16" fillId="0" borderId="0" applyFont="0" applyFill="0" applyBorder="0" applyAlignment="0" applyProtection="0"/>
    <xf numFmtId="0" fontId="22" fillId="0" borderId="0"/>
    <xf numFmtId="43" fontId="22" fillId="0" borderId="0" applyFont="0" applyFill="0" applyBorder="0" applyAlignment="0" applyProtection="0"/>
  </cellStyleXfs>
  <cellXfs count="410">
    <xf numFmtId="0" fontId="0" fillId="0" borderId="0" xfId="0"/>
    <xf numFmtId="0" fontId="2" fillId="0" borderId="0" xfId="0" applyFont="1" applyFill="1"/>
    <xf numFmtId="0" fontId="3" fillId="0" borderId="0" xfId="0" applyFont="1"/>
    <xf numFmtId="0" fontId="3" fillId="0" borderId="0" xfId="0" applyFont="1" applyAlignment="1">
      <alignment horizontal="right"/>
    </xf>
    <xf numFmtId="0" fontId="5" fillId="0" borderId="0" xfId="0" applyFont="1"/>
    <xf numFmtId="166" fontId="5" fillId="0" borderId="0" xfId="1" applyFont="1"/>
    <xf numFmtId="174" fontId="7" fillId="0" borderId="9" xfId="1" applyNumberFormat="1" applyFont="1" applyBorder="1"/>
    <xf numFmtId="49" fontId="8" fillId="0" borderId="17" xfId="0" applyNumberFormat="1" applyFont="1" applyBorder="1" applyAlignment="1">
      <alignment horizontal="left" indent="1"/>
    </xf>
    <xf numFmtId="49" fontId="8" fillId="0" borderId="18" xfId="0" applyNumberFormat="1" applyFont="1" applyBorder="1" applyAlignment="1">
      <alignment horizontal="left" indent="1"/>
    </xf>
    <xf numFmtId="49" fontId="8" fillId="0" borderId="19" xfId="0" applyNumberFormat="1" applyFont="1" applyBorder="1" applyAlignment="1">
      <alignment horizontal="left" indent="1"/>
    </xf>
    <xf numFmtId="49" fontId="3" fillId="0" borderId="13" xfId="0" applyNumberFormat="1" applyFont="1" applyBorder="1" applyAlignment="1">
      <alignment horizontal="left"/>
    </xf>
    <xf numFmtId="49" fontId="10" fillId="0" borderId="13" xfId="0" applyNumberFormat="1" applyFont="1" applyBorder="1" applyAlignment="1">
      <alignment horizontal="left"/>
    </xf>
    <xf numFmtId="49" fontId="8" fillId="0" borderId="20" xfId="0" applyNumberFormat="1" applyFont="1" applyBorder="1" applyAlignment="1">
      <alignment horizontal="left" indent="1"/>
    </xf>
    <xf numFmtId="49" fontId="8" fillId="0" borderId="21" xfId="0" applyNumberFormat="1" applyFont="1" applyBorder="1" applyAlignment="1">
      <alignment horizontal="left" indent="1"/>
    </xf>
    <xf numFmtId="49" fontId="8" fillId="0" borderId="22" xfId="0" applyNumberFormat="1" applyFont="1" applyBorder="1" applyAlignment="1">
      <alignment horizontal="left" indent="1"/>
    </xf>
    <xf numFmtId="168" fontId="8" fillId="0" borderId="22" xfId="0" applyNumberFormat="1" applyFont="1" applyBorder="1"/>
    <xf numFmtId="0" fontId="12" fillId="0" borderId="0" xfId="0" applyFont="1"/>
    <xf numFmtId="0" fontId="8" fillId="0" borderId="0" xfId="0" applyFont="1" applyAlignment="1">
      <alignment horizontal="left" indent="1"/>
    </xf>
    <xf numFmtId="0" fontId="9" fillId="0" borderId="0" xfId="0" applyFont="1" applyAlignment="1">
      <alignment horizontal="center"/>
    </xf>
    <xf numFmtId="0" fontId="8" fillId="0" borderId="0" xfId="0" applyFont="1"/>
    <xf numFmtId="0" fontId="13" fillId="0" borderId="0" xfId="0" applyFont="1" applyAlignment="1">
      <alignment horizontal="left" indent="1"/>
    </xf>
    <xf numFmtId="168" fontId="13" fillId="0" borderId="0" xfId="0" applyNumberFormat="1" applyFont="1" applyAlignment="1">
      <alignment horizontal="left" indent="1"/>
    </xf>
    <xf numFmtId="49" fontId="13" fillId="0" borderId="0" xfId="0" applyNumberFormat="1" applyFont="1" applyAlignment="1">
      <alignment horizontal="left" indent="1"/>
    </xf>
    <xf numFmtId="49" fontId="8" fillId="0" borderId="0" xfId="0" applyNumberFormat="1" applyFont="1" applyAlignment="1">
      <alignment horizontal="left" indent="1"/>
    </xf>
    <xf numFmtId="168" fontId="8" fillId="0" borderId="0" xfId="0" applyNumberFormat="1" applyFont="1" applyAlignment="1">
      <alignment horizontal="left" indent="1"/>
    </xf>
    <xf numFmtId="0" fontId="14" fillId="0" borderId="0" xfId="0" applyFont="1" applyAlignment="1">
      <alignment horizontal="left" indent="1"/>
    </xf>
    <xf numFmtId="168" fontId="14" fillId="0" borderId="0" xfId="0" applyNumberFormat="1" applyFont="1" applyAlignment="1">
      <alignment horizontal="left" indent="1"/>
    </xf>
    <xf numFmtId="168" fontId="11" fillId="0" borderId="0" xfId="0" applyNumberFormat="1" applyFont="1"/>
    <xf numFmtId="0" fontId="9" fillId="0" borderId="0" xfId="0" applyFont="1" applyAlignment="1">
      <alignment horizontal="left" indent="1"/>
    </xf>
    <xf numFmtId="168" fontId="9" fillId="0" borderId="0" xfId="0" applyNumberFormat="1" applyFont="1" applyAlignment="1">
      <alignment horizontal="left" indent="1"/>
    </xf>
    <xf numFmtId="0" fontId="4" fillId="0" borderId="0" xfId="0" applyFont="1"/>
    <xf numFmtId="168" fontId="4" fillId="0" borderId="0" xfId="0" applyNumberFormat="1" applyFont="1"/>
    <xf numFmtId="0" fontId="8" fillId="0" borderId="0" xfId="0" applyFont="1" applyAlignment="1">
      <alignment horizontal="left"/>
    </xf>
    <xf numFmtId="174" fontId="8" fillId="0" borderId="0" xfId="1" applyNumberFormat="1" applyFont="1" applyAlignment="1">
      <alignment horizontal="right"/>
    </xf>
    <xf numFmtId="166" fontId="2" fillId="0" borderId="0" xfId="1" applyFont="1"/>
    <xf numFmtId="175" fontId="2" fillId="0" borderId="0" xfId="1" applyNumberFormat="1" applyFont="1"/>
    <xf numFmtId="0" fontId="15" fillId="0" borderId="0" xfId="0" applyFont="1" applyAlignment="1">
      <alignment horizontal="right"/>
    </xf>
    <xf numFmtId="0" fontId="2" fillId="0" borderId="0" xfId="0" applyFont="1"/>
    <xf numFmtId="177" fontId="2" fillId="0" borderId="0" xfId="0" applyNumberFormat="1" applyFont="1"/>
    <xf numFmtId="168" fontId="9" fillId="0" borderId="23" xfId="0" applyNumberFormat="1" applyFont="1" applyBorder="1"/>
    <xf numFmtId="168" fontId="11" fillId="0" borderId="23" xfId="0" applyNumberFormat="1" applyFont="1" applyBorder="1"/>
    <xf numFmtId="168" fontId="12" fillId="0" borderId="0" xfId="0" applyNumberFormat="1" applyFont="1"/>
    <xf numFmtId="43" fontId="12" fillId="0" borderId="0" xfId="0" applyNumberFormat="1" applyFont="1"/>
    <xf numFmtId="166" fontId="12" fillId="0" borderId="0" xfId="0" applyNumberFormat="1" applyFont="1"/>
    <xf numFmtId="49" fontId="8" fillId="0" borderId="24" xfId="0" applyNumberFormat="1" applyFont="1" applyBorder="1" applyAlignment="1">
      <alignment horizontal="left" indent="1"/>
    </xf>
    <xf numFmtId="49" fontId="8" fillId="0" borderId="26" xfId="0" applyNumberFormat="1" applyFont="1" applyBorder="1" applyAlignment="1">
      <alignment horizontal="left" indent="1"/>
    </xf>
    <xf numFmtId="0" fontId="17" fillId="0" borderId="0" xfId="4" applyFont="1"/>
    <xf numFmtId="0" fontId="18" fillId="0" borderId="0" xfId="4" applyFont="1"/>
    <xf numFmtId="0" fontId="19" fillId="0" borderId="0" xfId="4" applyFont="1" applyAlignment="1">
      <alignment horizontal="center"/>
    </xf>
    <xf numFmtId="168" fontId="17" fillId="0" borderId="12" xfId="4" applyNumberFormat="1" applyFont="1" applyBorder="1"/>
    <xf numFmtId="0" fontId="18" fillId="0" borderId="0" xfId="4" applyFont="1" applyAlignment="1">
      <alignment horizontal="left" indent="1"/>
    </xf>
    <xf numFmtId="168" fontId="18" fillId="0" borderId="0" xfId="4" applyNumberFormat="1" applyFont="1" applyBorder="1"/>
    <xf numFmtId="168" fontId="18" fillId="0" borderId="0" xfId="4" applyNumberFormat="1" applyFont="1"/>
    <xf numFmtId="168" fontId="17" fillId="0" borderId="28" xfId="4" applyNumberFormat="1" applyFont="1" applyBorder="1"/>
    <xf numFmtId="0" fontId="20" fillId="0" borderId="0" xfId="4" applyFont="1"/>
    <xf numFmtId="0" fontId="18" fillId="0" borderId="0" xfId="4" applyFont="1" applyAlignment="1">
      <alignment vertical="center"/>
    </xf>
    <xf numFmtId="168" fontId="18" fillId="0" borderId="0" xfId="4" applyNumberFormat="1" applyFont="1" applyAlignment="1"/>
    <xf numFmtId="168" fontId="18" fillId="0" borderId="12" xfId="4" applyNumberFormat="1" applyFont="1" applyBorder="1" applyAlignment="1"/>
    <xf numFmtId="168" fontId="17" fillId="0" borderId="5" xfId="4" applyNumberFormat="1" applyFont="1" applyBorder="1" applyAlignment="1"/>
    <xf numFmtId="168" fontId="18" fillId="0" borderId="0" xfId="4" applyNumberFormat="1" applyFont="1" applyBorder="1" applyAlignment="1"/>
    <xf numFmtId="0" fontId="18" fillId="0" borderId="0" xfId="4" applyFont="1" applyAlignment="1">
      <alignment horizontal="left" indent="3"/>
    </xf>
    <xf numFmtId="168" fontId="17" fillId="0" borderId="28" xfId="4" applyNumberFormat="1" applyFont="1" applyBorder="1" applyAlignment="1"/>
    <xf numFmtId="0" fontId="17" fillId="0" borderId="12" xfId="4" applyFont="1" applyBorder="1"/>
    <xf numFmtId="0" fontId="18" fillId="0" borderId="12" xfId="4" applyFont="1" applyBorder="1"/>
    <xf numFmtId="168" fontId="18" fillId="0" borderId="12" xfId="4" applyNumberFormat="1" applyFont="1" applyBorder="1"/>
    <xf numFmtId="0" fontId="18" fillId="0" borderId="0" xfId="4" applyFont="1" applyAlignment="1">
      <alignment vertical="center" wrapText="1"/>
    </xf>
    <xf numFmtId="2" fontId="18" fillId="0" borderId="0" xfId="4" applyNumberFormat="1" applyFont="1" applyAlignment="1">
      <alignment horizontal="center" vertical="center" wrapText="1"/>
    </xf>
    <xf numFmtId="179" fontId="18" fillId="0" borderId="0" xfId="4" applyNumberFormat="1" applyFont="1" applyAlignment="1">
      <alignment vertical="center" wrapText="1"/>
    </xf>
    <xf numFmtId="0" fontId="24" fillId="0" borderId="0" xfId="0" applyFont="1"/>
    <xf numFmtId="0" fontId="25" fillId="0" borderId="0" xfId="0" applyFont="1"/>
    <xf numFmtId="0" fontId="25" fillId="0" borderId="0" xfId="0" applyFont="1" applyFill="1"/>
    <xf numFmtId="0" fontId="27" fillId="0" borderId="0" xfId="0" applyFont="1"/>
    <xf numFmtId="176" fontId="27" fillId="0" borderId="0" xfId="2" applyNumberFormat="1" applyFont="1" applyFill="1" applyBorder="1" applyAlignment="1" applyProtection="1">
      <alignment horizontal="center"/>
    </xf>
    <xf numFmtId="0" fontId="16" fillId="0" borderId="0" xfId="0" applyFont="1" applyAlignment="1">
      <alignment vertical="center"/>
    </xf>
    <xf numFmtId="176" fontId="27" fillId="0" borderId="0" xfId="0" applyNumberFormat="1" applyFont="1"/>
    <xf numFmtId="164" fontId="27" fillId="0" borderId="0" xfId="1" applyNumberFormat="1" applyFont="1"/>
    <xf numFmtId="0" fontId="24" fillId="0" borderId="11" xfId="0" applyFont="1" applyBorder="1"/>
    <xf numFmtId="0" fontId="27" fillId="0" borderId="12" xfId="0" applyFont="1" applyBorder="1"/>
    <xf numFmtId="0" fontId="24" fillId="0" borderId="9" xfId="0" applyFont="1" applyBorder="1" applyAlignment="1">
      <alignment horizontal="center"/>
    </xf>
    <xf numFmtId="0" fontId="31" fillId="0" borderId="1" xfId="0" applyFont="1" applyBorder="1"/>
    <xf numFmtId="0" fontId="27" fillId="0" borderId="2" xfId="0" applyFont="1" applyBorder="1"/>
    <xf numFmtId="0" fontId="24" fillId="0" borderId="3" xfId="0" applyFont="1" applyBorder="1" applyAlignment="1">
      <alignment horizontal="center"/>
    </xf>
    <xf numFmtId="0" fontId="27" fillId="0" borderId="1" xfId="0" applyFont="1" applyBorder="1"/>
    <xf numFmtId="0" fontId="27" fillId="0" borderId="3" xfId="0" applyFont="1" applyBorder="1"/>
    <xf numFmtId="0" fontId="24" fillId="0" borderId="1" xfId="0" quotePrefix="1" applyFont="1" applyBorder="1"/>
    <xf numFmtId="0" fontId="29" fillId="0" borderId="0" xfId="0" applyFont="1"/>
    <xf numFmtId="0" fontId="32" fillId="0" borderId="0" xfId="0" applyFont="1"/>
    <xf numFmtId="0" fontId="32" fillId="0" borderId="0" xfId="0" applyFont="1" applyAlignment="1">
      <alignment horizontal="center"/>
    </xf>
    <xf numFmtId="174" fontId="29" fillId="0" borderId="0" xfId="1" applyNumberFormat="1" applyFont="1"/>
    <xf numFmtId="167" fontId="29" fillId="0" borderId="9" xfId="1" applyNumberFormat="1" applyFont="1" applyFill="1" applyBorder="1" applyAlignment="1" applyProtection="1"/>
    <xf numFmtId="167" fontId="30" fillId="0" borderId="9" xfId="0" applyNumberFormat="1" applyFont="1" applyBorder="1"/>
    <xf numFmtId="0" fontId="33" fillId="0" borderId="0" xfId="0" applyFont="1"/>
    <xf numFmtId="167" fontId="33" fillId="0" borderId="0" xfId="1" applyNumberFormat="1" applyFont="1" applyFill="1" applyBorder="1" applyAlignment="1" applyProtection="1"/>
    <xf numFmtId="167" fontId="30" fillId="0" borderId="9" xfId="1" applyNumberFormat="1" applyFont="1" applyFill="1" applyBorder="1" applyAlignment="1" applyProtection="1"/>
    <xf numFmtId="0" fontId="29" fillId="0" borderId="12" xfId="0" applyFont="1" applyBorder="1"/>
    <xf numFmtId="0" fontId="29" fillId="0" borderId="2" xfId="0" applyFont="1" applyBorder="1"/>
    <xf numFmtId="175" fontId="30" fillId="0" borderId="0" xfId="1" applyNumberFormat="1" applyFont="1"/>
    <xf numFmtId="0" fontId="26" fillId="0" borderId="0" xfId="0" applyFont="1" applyAlignment="1">
      <alignment horizontal="right"/>
    </xf>
    <xf numFmtId="49" fontId="7" fillId="0" borderId="9" xfId="0" applyNumberFormat="1" applyFont="1" applyBorder="1" applyAlignment="1">
      <alignment horizontal="left"/>
    </xf>
    <xf numFmtId="49" fontId="4" fillId="0" borderId="9" xfId="0" applyNumberFormat="1" applyFont="1" applyBorder="1" applyAlignment="1">
      <alignment horizontal="left"/>
    </xf>
    <xf numFmtId="168" fontId="8" fillId="0" borderId="29" xfId="0" applyNumberFormat="1" applyFont="1" applyBorder="1"/>
    <xf numFmtId="168" fontId="8" fillId="5" borderId="17" xfId="0" applyNumberFormat="1" applyFont="1" applyFill="1" applyBorder="1" applyAlignment="1">
      <alignment horizontal="left" indent="1"/>
    </xf>
    <xf numFmtId="168" fontId="8" fillId="5" borderId="8" xfId="0" applyNumberFormat="1" applyFont="1" applyFill="1" applyBorder="1" applyAlignment="1">
      <alignment horizontal="left" indent="1"/>
    </xf>
    <xf numFmtId="168" fontId="8" fillId="5" borderId="18" xfId="0" applyNumberFormat="1" applyFont="1" applyFill="1" applyBorder="1" applyAlignment="1">
      <alignment horizontal="left" indent="1"/>
    </xf>
    <xf numFmtId="168" fontId="8" fillId="5" borderId="19" xfId="0" applyNumberFormat="1" applyFont="1" applyFill="1" applyBorder="1" applyAlignment="1">
      <alignment horizontal="left" indent="1"/>
    </xf>
    <xf numFmtId="174" fontId="7" fillId="5" borderId="9" xfId="1" applyNumberFormat="1" applyFont="1" applyFill="1" applyBorder="1"/>
    <xf numFmtId="0" fontId="36" fillId="0" borderId="0" xfId="0" applyFont="1"/>
    <xf numFmtId="168" fontId="8" fillId="6" borderId="25" xfId="0" applyNumberFormat="1" applyFont="1" applyFill="1" applyBorder="1" applyAlignment="1">
      <alignment horizontal="left" indent="1"/>
    </xf>
    <xf numFmtId="174" fontId="7" fillId="6" borderId="9" xfId="1" applyNumberFormat="1" applyFont="1" applyFill="1" applyBorder="1"/>
    <xf numFmtId="168" fontId="8" fillId="6" borderId="27" xfId="0" applyNumberFormat="1" applyFont="1" applyFill="1" applyBorder="1" applyAlignment="1">
      <alignment horizontal="left" indent="1"/>
    </xf>
    <xf numFmtId="174" fontId="7" fillId="7" borderId="9" xfId="1" applyNumberFormat="1" applyFont="1" applyFill="1" applyBorder="1"/>
    <xf numFmtId="168" fontId="8" fillId="7" borderId="24" xfId="0" applyNumberFormat="1" applyFont="1" applyFill="1" applyBorder="1" applyAlignment="1">
      <alignment horizontal="left" indent="1"/>
    </xf>
    <xf numFmtId="168" fontId="8" fillId="7" borderId="8" xfId="0" applyNumberFormat="1" applyFont="1" applyFill="1" applyBorder="1" applyAlignment="1">
      <alignment horizontal="left" indent="1"/>
    </xf>
    <xf numFmtId="168" fontId="8" fillId="7" borderId="29" xfId="0" applyNumberFormat="1" applyFont="1" applyFill="1" applyBorder="1" applyAlignment="1">
      <alignment horizontal="left" indent="1"/>
    </xf>
    <xf numFmtId="174" fontId="7" fillId="8" borderId="9" xfId="1" applyNumberFormat="1" applyFont="1" applyFill="1" applyBorder="1"/>
    <xf numFmtId="168" fontId="8" fillId="8" borderId="8" xfId="0" applyNumberFormat="1" applyFont="1" applyFill="1" applyBorder="1" applyAlignment="1">
      <alignment horizontal="left" indent="1"/>
    </xf>
    <xf numFmtId="168" fontId="8" fillId="8" borderId="16" xfId="0" applyNumberFormat="1" applyFont="1" applyFill="1" applyBorder="1" applyAlignment="1">
      <alignment horizontal="left" indent="1"/>
    </xf>
    <xf numFmtId="0" fontId="5" fillId="0" borderId="0" xfId="0" applyFont="1" applyAlignment="1">
      <alignment horizontal="left"/>
    </xf>
    <xf numFmtId="168" fontId="8" fillId="10" borderId="8" xfId="0" applyNumberFormat="1" applyFont="1" applyFill="1" applyBorder="1" applyAlignment="1">
      <alignment horizontal="left" indent="1"/>
    </xf>
    <xf numFmtId="168" fontId="8" fillId="10" borderId="16" xfId="0" applyNumberFormat="1" applyFont="1" applyFill="1" applyBorder="1" applyAlignment="1">
      <alignment horizontal="left" indent="1"/>
    </xf>
    <xf numFmtId="174" fontId="7" fillId="10" borderId="9" xfId="1" applyNumberFormat="1" applyFont="1" applyFill="1" applyBorder="1"/>
    <xf numFmtId="0" fontId="23" fillId="0" borderId="0" xfId="0" applyFont="1" applyFill="1"/>
    <xf numFmtId="0" fontId="37" fillId="0" borderId="0" xfId="0" applyFont="1"/>
    <xf numFmtId="0" fontId="23" fillId="0" borderId="0" xfId="0" applyFont="1"/>
    <xf numFmtId="0" fontId="38" fillId="0" borderId="0" xfId="0" applyFont="1"/>
    <xf numFmtId="49" fontId="23" fillId="0" borderId="0" xfId="0" applyNumberFormat="1" applyFont="1" applyAlignment="1">
      <alignment horizontal="left"/>
    </xf>
    <xf numFmtId="0" fontId="23" fillId="0" borderId="1" xfId="0" applyFont="1" applyBorder="1" applyAlignment="1">
      <alignment horizontal="left" indent="1"/>
    </xf>
    <xf numFmtId="0" fontId="23" fillId="0" borderId="2" xfId="0" applyFont="1" applyBorder="1" applyAlignment="1">
      <alignment horizontal="left" indent="1"/>
    </xf>
    <xf numFmtId="0" fontId="37" fillId="0" borderId="2" xfId="0" applyFont="1" applyBorder="1" applyAlignment="1">
      <alignment horizontal="center"/>
    </xf>
    <xf numFmtId="0" fontId="37" fillId="0" borderId="3" xfId="0" applyFont="1" applyBorder="1" applyAlignment="1">
      <alignment horizontal="center"/>
    </xf>
    <xf numFmtId="0" fontId="23" fillId="0" borderId="2" xfId="0" applyFont="1" applyBorder="1"/>
    <xf numFmtId="0" fontId="37" fillId="0" borderId="3" xfId="0" applyFont="1" applyFill="1" applyBorder="1" applyAlignment="1">
      <alignment horizontal="center"/>
    </xf>
    <xf numFmtId="0" fontId="39" fillId="0" borderId="4" xfId="0" applyFont="1" applyBorder="1" applyAlignment="1">
      <alignment horizontal="left" indent="1"/>
    </xf>
    <xf numFmtId="0" fontId="39" fillId="0" borderId="5" xfId="0" applyFont="1" applyBorder="1" applyAlignment="1">
      <alignment horizontal="left" indent="1"/>
    </xf>
    <xf numFmtId="0" fontId="39" fillId="0" borderId="5" xfId="0" applyFont="1" applyFill="1" applyBorder="1" applyAlignment="1">
      <alignment horizontal="left" indent="1"/>
    </xf>
    <xf numFmtId="167" fontId="23" fillId="0" borderId="5" xfId="1" applyNumberFormat="1" applyFont="1" applyFill="1" applyBorder="1" applyAlignment="1" applyProtection="1"/>
    <xf numFmtId="167" fontId="23" fillId="0" borderId="6" xfId="1" applyNumberFormat="1" applyFont="1" applyFill="1" applyBorder="1" applyAlignment="1" applyProtection="1"/>
    <xf numFmtId="49" fontId="39" fillId="0" borderId="5" xfId="0" applyNumberFormat="1" applyFont="1" applyFill="1" applyBorder="1" applyAlignment="1">
      <alignment horizontal="left" indent="1"/>
    </xf>
    <xf numFmtId="0" fontId="23" fillId="0" borderId="7" xfId="0" applyFont="1" applyBorder="1" applyAlignment="1">
      <alignment horizontal="left" indent="1"/>
    </xf>
    <xf numFmtId="0" fontId="23" fillId="0" borderId="0" xfId="0" applyFont="1" applyBorder="1" applyAlignment="1">
      <alignment horizontal="left" indent="1"/>
    </xf>
    <xf numFmtId="0" fontId="23" fillId="0" borderId="0" xfId="0" applyFont="1" applyFill="1" applyBorder="1" applyAlignment="1">
      <alignment horizontal="left" indent="1"/>
    </xf>
    <xf numFmtId="167" fontId="23" fillId="0" borderId="0" xfId="1" applyNumberFormat="1" applyFont="1" applyFill="1" applyBorder="1" applyAlignment="1" applyProtection="1"/>
    <xf numFmtId="167" fontId="23" fillId="0" borderId="8" xfId="1" applyNumberFormat="1" applyFont="1" applyFill="1" applyBorder="1" applyAlignment="1" applyProtection="1"/>
    <xf numFmtId="0" fontId="23" fillId="0" borderId="0" xfId="0" applyFont="1" applyBorder="1"/>
    <xf numFmtId="167" fontId="2" fillId="3" borderId="9" xfId="0" applyNumberFormat="1" applyFont="1" applyFill="1" applyBorder="1"/>
    <xf numFmtId="167" fontId="2" fillId="4" borderId="9" xfId="0" applyNumberFormat="1" applyFont="1" applyFill="1" applyBorder="1"/>
    <xf numFmtId="167" fontId="2" fillId="4" borderId="9" xfId="1" applyNumberFormat="1" applyFont="1" applyFill="1" applyBorder="1" applyAlignment="1" applyProtection="1"/>
    <xf numFmtId="167" fontId="40" fillId="0" borderId="0" xfId="1" applyNumberFormat="1" applyFont="1" applyFill="1" applyBorder="1" applyAlignment="1" applyProtection="1"/>
    <xf numFmtId="167" fontId="2" fillId="2" borderId="9" xfId="0" applyNumberFormat="1" applyFont="1" applyFill="1" applyBorder="1"/>
    <xf numFmtId="0" fontId="38" fillId="0" borderId="7" xfId="0" applyFont="1" applyBorder="1" applyAlignment="1">
      <alignment horizontal="left" indent="1"/>
    </xf>
    <xf numFmtId="0" fontId="38" fillId="0" borderId="0" xfId="0" applyFont="1" applyBorder="1" applyAlignment="1">
      <alignment horizontal="left" indent="1"/>
    </xf>
    <xf numFmtId="0" fontId="38" fillId="0" borderId="0" xfId="0" applyFont="1" applyFill="1" applyBorder="1" applyAlignment="1">
      <alignment horizontal="left" indent="1"/>
    </xf>
    <xf numFmtId="167" fontId="38" fillId="0" borderId="0" xfId="1" applyNumberFormat="1" applyFont="1" applyFill="1" applyBorder="1" applyAlignment="1" applyProtection="1"/>
    <xf numFmtId="167" fontId="5" fillId="0" borderId="8" xfId="1" applyNumberFormat="1" applyFont="1" applyFill="1" applyBorder="1" applyAlignment="1" applyProtection="1"/>
    <xf numFmtId="167" fontId="38" fillId="0" borderId="0" xfId="0" applyNumberFormat="1" applyFont="1" applyBorder="1"/>
    <xf numFmtId="167" fontId="5" fillId="0" borderId="8" xfId="0" applyNumberFormat="1" applyFont="1" applyFill="1" applyBorder="1"/>
    <xf numFmtId="0" fontId="39" fillId="0" borderId="7" xfId="0" applyFont="1" applyBorder="1" applyAlignment="1">
      <alignment horizontal="left" indent="1"/>
    </xf>
    <xf numFmtId="0" fontId="39" fillId="0" borderId="0" xfId="0" applyFont="1" applyBorder="1" applyAlignment="1">
      <alignment horizontal="left" indent="1"/>
    </xf>
    <xf numFmtId="0" fontId="23" fillId="0" borderId="8" xfId="0" applyFont="1" applyBorder="1"/>
    <xf numFmtId="0" fontId="39" fillId="0" borderId="0" xfId="0" applyFont="1" applyFill="1" applyBorder="1" applyAlignment="1">
      <alignment horizontal="left" indent="1"/>
    </xf>
    <xf numFmtId="0" fontId="23" fillId="0" borderId="0" xfId="0" applyFont="1" applyFill="1" applyBorder="1"/>
    <xf numFmtId="0" fontId="23" fillId="0" borderId="8" xfId="0" applyFont="1" applyFill="1" applyBorder="1"/>
    <xf numFmtId="0" fontId="41" fillId="0" borderId="7" xfId="0" applyFont="1" applyBorder="1" applyAlignment="1">
      <alignment horizontal="left" indent="1"/>
    </xf>
    <xf numFmtId="0" fontId="41" fillId="0" borderId="0" xfId="0" applyFont="1" applyBorder="1" applyAlignment="1">
      <alignment horizontal="left" indent="1"/>
    </xf>
    <xf numFmtId="0" fontId="41" fillId="0" borderId="0" xfId="0" applyFont="1" applyFill="1" applyBorder="1" applyAlignment="1">
      <alignment horizontal="left" indent="1"/>
    </xf>
    <xf numFmtId="167" fontId="2" fillId="0" borderId="8" xfId="1" applyNumberFormat="1" applyFont="1" applyFill="1" applyBorder="1" applyAlignment="1" applyProtection="1"/>
    <xf numFmtId="49" fontId="39" fillId="0" borderId="0" xfId="0" applyNumberFormat="1" applyFont="1" applyFill="1" applyBorder="1" applyAlignment="1">
      <alignment horizontal="left" indent="1"/>
    </xf>
    <xf numFmtId="167" fontId="42" fillId="0" borderId="8" xfId="1" applyNumberFormat="1" applyFont="1" applyFill="1" applyBorder="1" applyAlignment="1" applyProtection="1"/>
    <xf numFmtId="0" fontId="35" fillId="0" borderId="8" xfId="0" applyFont="1" applyFill="1" applyBorder="1"/>
    <xf numFmtId="0" fontId="12" fillId="0" borderId="7" xfId="0" applyFont="1" applyBorder="1" applyAlignment="1">
      <alignment horizontal="left" indent="1"/>
    </xf>
    <xf numFmtId="167" fontId="43" fillId="0" borderId="8" xfId="1" applyNumberFormat="1" applyFont="1" applyFill="1" applyBorder="1" applyAlignment="1" applyProtection="1"/>
    <xf numFmtId="167" fontId="2" fillId="3" borderId="9" xfId="1" applyNumberFormat="1" applyFont="1" applyFill="1" applyBorder="1" applyAlignment="1" applyProtection="1"/>
    <xf numFmtId="49" fontId="23" fillId="0" borderId="0" xfId="0" applyNumberFormat="1" applyFont="1" applyFill="1" applyBorder="1" applyAlignment="1">
      <alignment horizontal="left" indent="1"/>
    </xf>
    <xf numFmtId="167" fontId="2" fillId="2" borderId="9" xfId="1" applyNumberFormat="1" applyFont="1" applyFill="1" applyBorder="1" applyAlignment="1" applyProtection="1"/>
    <xf numFmtId="167" fontId="41" fillId="0" borderId="0" xfId="1" applyNumberFormat="1" applyFont="1" applyFill="1" applyBorder="1" applyAlignment="1" applyProtection="1"/>
    <xf numFmtId="167" fontId="15" fillId="3" borderId="9" xfId="1" applyNumberFormat="1" applyFont="1" applyFill="1" applyBorder="1" applyAlignment="1" applyProtection="1"/>
    <xf numFmtId="167" fontId="12" fillId="0" borderId="0" xfId="1" applyNumberFormat="1" applyFont="1" applyFill="1" applyBorder="1" applyAlignment="1" applyProtection="1"/>
    <xf numFmtId="49" fontId="38" fillId="0" borderId="0" xfId="0" applyNumberFormat="1" applyFont="1" applyFill="1" applyBorder="1" applyAlignment="1">
      <alignment horizontal="left" indent="1"/>
    </xf>
    <xf numFmtId="0" fontId="23" fillId="0" borderId="10" xfId="0" applyFont="1" applyFill="1" applyBorder="1"/>
    <xf numFmtId="0" fontId="43" fillId="0" borderId="0" xfId="0" applyFont="1" applyFill="1"/>
    <xf numFmtId="169" fontId="2" fillId="0" borderId="0" xfId="0" applyNumberFormat="1" applyFont="1" applyFill="1"/>
    <xf numFmtId="49" fontId="23" fillId="0" borderId="0" xfId="0" applyNumberFormat="1" applyFont="1" applyFill="1" applyBorder="1" applyAlignment="1">
      <alignment horizontal="left"/>
    </xf>
    <xf numFmtId="167" fontId="23" fillId="0" borderId="0" xfId="0" applyNumberFormat="1" applyFont="1"/>
    <xf numFmtId="49" fontId="38" fillId="0" borderId="4" xfId="0" applyNumberFormat="1" applyFont="1" applyBorder="1" applyAlignment="1">
      <alignment horizontal="left"/>
    </xf>
    <xf numFmtId="49" fontId="23" fillId="0" borderId="5" xfId="0" applyNumberFormat="1" applyFont="1" applyBorder="1" applyAlignment="1">
      <alignment horizontal="left"/>
    </xf>
    <xf numFmtId="49" fontId="23" fillId="0" borderId="5" xfId="0" applyNumberFormat="1" applyFont="1" applyFill="1" applyBorder="1" applyAlignment="1">
      <alignment horizontal="left"/>
    </xf>
    <xf numFmtId="0" fontId="23" fillId="0" borderId="5" xfId="0" applyFont="1" applyBorder="1"/>
    <xf numFmtId="167" fontId="2" fillId="0" borderId="0" xfId="0" applyNumberFormat="1" applyFont="1" applyAlignment="1">
      <alignment horizontal="center"/>
    </xf>
    <xf numFmtId="0" fontId="2" fillId="0" borderId="0" xfId="0" applyFont="1" applyFill="1" applyAlignment="1">
      <alignment horizontal="center"/>
    </xf>
    <xf numFmtId="49" fontId="12" fillId="0" borderId="7" xfId="0" applyNumberFormat="1" applyFont="1" applyBorder="1" applyAlignment="1">
      <alignment horizontal="left"/>
    </xf>
    <xf numFmtId="49" fontId="23" fillId="0" borderId="0" xfId="0" applyNumberFormat="1" applyFont="1" applyBorder="1" applyAlignment="1">
      <alignment horizontal="left"/>
    </xf>
    <xf numFmtId="167" fontId="0" fillId="0" borderId="8" xfId="1" applyNumberFormat="1" applyFont="1" applyFill="1" applyBorder="1" applyAlignment="1" applyProtection="1"/>
    <xf numFmtId="167" fontId="2" fillId="0" borderId="0" xfId="0" applyNumberFormat="1" applyFont="1"/>
    <xf numFmtId="0" fontId="37" fillId="0" borderId="0" xfId="0" applyFont="1" applyFill="1"/>
    <xf numFmtId="49" fontId="37" fillId="0" borderId="0" xfId="0" applyNumberFormat="1" applyFont="1" applyBorder="1" applyAlignment="1">
      <alignment horizontal="left"/>
    </xf>
    <xf numFmtId="49" fontId="37" fillId="0" borderId="0" xfId="0" applyNumberFormat="1" applyFont="1" applyFill="1" applyBorder="1" applyAlignment="1">
      <alignment horizontal="left"/>
    </xf>
    <xf numFmtId="167" fontId="5" fillId="0" borderId="0" xfId="1" applyNumberFormat="1" applyFont="1" applyFill="1" applyBorder="1" applyAlignment="1" applyProtection="1">
      <alignment horizontal="right"/>
    </xf>
    <xf numFmtId="166" fontId="5" fillId="0" borderId="0" xfId="1" applyFont="1" applyFill="1" applyAlignment="1">
      <alignment horizontal="left"/>
    </xf>
    <xf numFmtId="166" fontId="5" fillId="0" borderId="0" xfId="1" applyFont="1" applyFill="1" applyBorder="1" applyAlignment="1" applyProtection="1">
      <alignment horizontal="left"/>
    </xf>
    <xf numFmtId="49" fontId="2" fillId="0" borderId="0" xfId="0" applyNumberFormat="1" applyFont="1" applyFill="1" applyBorder="1" applyAlignment="1">
      <alignment horizontal="left"/>
    </xf>
    <xf numFmtId="167" fontId="2" fillId="0" borderId="0" xfId="1" applyNumberFormat="1" applyFont="1" applyFill="1" applyBorder="1" applyAlignment="1" applyProtection="1">
      <alignment horizontal="right"/>
    </xf>
    <xf numFmtId="176" fontId="2" fillId="0" borderId="0" xfId="0" applyNumberFormat="1" applyFont="1" applyFill="1"/>
    <xf numFmtId="49" fontId="12" fillId="0" borderId="0" xfId="0" applyNumberFormat="1" applyFont="1" applyBorder="1" applyAlignment="1">
      <alignment horizontal="left"/>
    </xf>
    <xf numFmtId="167" fontId="42" fillId="0" borderId="0" xfId="1" applyNumberFormat="1" applyFont="1" applyFill="1" applyBorder="1" applyAlignment="1" applyProtection="1">
      <alignment horizontal="right"/>
    </xf>
    <xf numFmtId="167" fontId="2" fillId="0" borderId="0" xfId="0" applyNumberFormat="1" applyFont="1" applyFill="1"/>
    <xf numFmtId="37" fontId="2" fillId="0" borderId="0" xfId="0" applyNumberFormat="1" applyFont="1" applyFill="1" applyBorder="1" applyAlignment="1">
      <alignment horizontal="right"/>
    </xf>
    <xf numFmtId="167" fontId="12" fillId="0" borderId="6" xfId="1" applyNumberFormat="1" applyFont="1" applyFill="1" applyBorder="1" applyAlignment="1" applyProtection="1"/>
    <xf numFmtId="49" fontId="37" fillId="0" borderId="11" xfId="0" applyNumberFormat="1" applyFont="1" applyBorder="1" applyAlignment="1">
      <alignment horizontal="left"/>
    </xf>
    <xf numFmtId="49" fontId="37" fillId="0" borderId="12" xfId="0" applyNumberFormat="1" applyFont="1" applyBorder="1" applyAlignment="1">
      <alignment horizontal="left"/>
    </xf>
    <xf numFmtId="49" fontId="37" fillId="0" borderId="12" xfId="0" applyNumberFormat="1" applyFont="1" applyFill="1" applyBorder="1" applyAlignment="1">
      <alignment horizontal="left"/>
    </xf>
    <xf numFmtId="0" fontId="23" fillId="0" borderId="12" xfId="0" applyFont="1" applyBorder="1"/>
    <xf numFmtId="167" fontId="5" fillId="0" borderId="10" xfId="0" applyNumberFormat="1" applyFont="1" applyFill="1" applyBorder="1"/>
    <xf numFmtId="49" fontId="43" fillId="0" borderId="0" xfId="0" applyNumberFormat="1" applyFont="1" applyAlignment="1">
      <alignment horizontal="left"/>
    </xf>
    <xf numFmtId="176" fontId="23" fillId="0" borderId="0" xfId="0" applyNumberFormat="1" applyFont="1"/>
    <xf numFmtId="176" fontId="47" fillId="0" borderId="0" xfId="0" applyNumberFormat="1" applyFont="1"/>
    <xf numFmtId="176" fontId="43" fillId="0" borderId="0" xfId="0" applyNumberFormat="1" applyFont="1" applyFill="1"/>
    <xf numFmtId="0" fontId="12" fillId="0" borderId="0" xfId="0" applyFont="1" applyFill="1"/>
    <xf numFmtId="37" fontId="12" fillId="0" borderId="0" xfId="0" applyNumberFormat="1" applyFont="1" applyAlignment="1">
      <alignment horizontal="left"/>
    </xf>
    <xf numFmtId="49" fontId="43" fillId="0" borderId="0" xfId="0" applyNumberFormat="1" applyFont="1" applyBorder="1" applyAlignment="1">
      <alignment horizontal="left"/>
    </xf>
    <xf numFmtId="0" fontId="46" fillId="0" borderId="0" xfId="0" applyFont="1"/>
    <xf numFmtId="167" fontId="43" fillId="0" borderId="0" xfId="0" applyNumberFormat="1" applyFont="1"/>
    <xf numFmtId="0" fontId="46" fillId="0" borderId="0" xfId="0" applyFont="1" applyFill="1"/>
    <xf numFmtId="176" fontId="48" fillId="0" borderId="0" xfId="2" applyNumberFormat="1" applyFont="1" applyFill="1" applyBorder="1" applyAlignment="1" applyProtection="1"/>
    <xf numFmtId="176" fontId="12" fillId="0" borderId="0" xfId="2" applyNumberFormat="1" applyFont="1" applyFill="1" applyBorder="1" applyAlignment="1" applyProtection="1"/>
    <xf numFmtId="171" fontId="12" fillId="0" borderId="0" xfId="2" applyNumberFormat="1" applyFont="1" applyFill="1" applyBorder="1" applyAlignment="1" applyProtection="1"/>
    <xf numFmtId="170" fontId="12" fillId="0" borderId="0" xfId="2" applyNumberFormat="1" applyFont="1" applyFill="1" applyBorder="1" applyAlignment="1" applyProtection="1"/>
    <xf numFmtId="170" fontId="48" fillId="0" borderId="0" xfId="2" applyNumberFormat="1" applyFont="1" applyFill="1" applyBorder="1" applyAlignment="1" applyProtection="1"/>
    <xf numFmtId="171" fontId="12" fillId="0" borderId="0" xfId="2" applyNumberFormat="1" applyFont="1" applyFill="1" applyBorder="1" applyAlignment="1" applyProtection="1">
      <alignment horizontal="left"/>
    </xf>
    <xf numFmtId="172" fontId="12" fillId="0" borderId="0" xfId="2" applyNumberFormat="1" applyFont="1" applyFill="1" applyBorder="1" applyAlignment="1" applyProtection="1"/>
    <xf numFmtId="171" fontId="12" fillId="0" borderId="0" xfId="2" applyNumberFormat="1" applyFont="1"/>
    <xf numFmtId="37" fontId="12" fillId="0" borderId="0" xfId="0" applyNumberFormat="1" applyFont="1" applyFill="1" applyAlignment="1">
      <alignment horizontal="left"/>
    </xf>
    <xf numFmtId="37" fontId="12" fillId="0" borderId="0" xfId="0" applyNumberFormat="1" applyFont="1" applyAlignment="1">
      <alignment horizontal="center"/>
    </xf>
    <xf numFmtId="167" fontId="2" fillId="0" borderId="0" xfId="1" applyNumberFormat="1" applyFont="1" applyFill="1" applyBorder="1" applyAlignment="1" applyProtection="1"/>
    <xf numFmtId="171" fontId="23" fillId="0" borderId="0" xfId="0" applyNumberFormat="1" applyFont="1" applyAlignment="1">
      <alignment horizontal="center"/>
    </xf>
    <xf numFmtId="37" fontId="12" fillId="0" borderId="0" xfId="0" applyNumberFormat="1" applyFont="1"/>
    <xf numFmtId="37" fontId="2" fillId="0" borderId="0" xfId="0" applyNumberFormat="1" applyFont="1" applyAlignment="1">
      <alignment horizontal="right"/>
    </xf>
    <xf numFmtId="173" fontId="37" fillId="0" borderId="0" xfId="0" applyNumberFormat="1" applyFont="1" applyAlignment="1">
      <alignment horizontal="center"/>
    </xf>
    <xf numFmtId="171" fontId="12" fillId="0" borderId="0" xfId="2" applyNumberFormat="1" applyFont="1" applyBorder="1" applyAlignment="1" applyProtection="1"/>
    <xf numFmtId="37" fontId="2" fillId="0" borderId="0" xfId="0" applyNumberFormat="1" applyFont="1" applyFill="1" applyAlignment="1">
      <alignment horizontal="left"/>
    </xf>
    <xf numFmtId="0" fontId="2" fillId="0" borderId="14" xfId="0" applyFont="1" applyBorder="1"/>
    <xf numFmtId="0" fontId="2" fillId="0" borderId="15" xfId="0" applyFont="1" applyBorder="1"/>
    <xf numFmtId="0" fontId="38" fillId="0" borderId="15" xfId="0" applyFont="1" applyBorder="1"/>
    <xf numFmtId="0" fontId="23" fillId="0" borderId="15" xfId="0" applyFont="1" applyBorder="1"/>
    <xf numFmtId="0" fontId="38" fillId="0" borderId="0" xfId="0" applyFont="1" applyAlignment="1">
      <alignment horizontal="right"/>
    </xf>
    <xf numFmtId="0" fontId="38" fillId="0" borderId="1" xfId="0" applyFont="1" applyBorder="1" applyAlignment="1">
      <alignment horizontal="left" indent="1"/>
    </xf>
    <xf numFmtId="0" fontId="38" fillId="0" borderId="2" xfId="0" applyFont="1" applyBorder="1" applyAlignment="1">
      <alignment horizontal="left" indent="1"/>
    </xf>
    <xf numFmtId="0" fontId="38" fillId="0" borderId="2" xfId="0" applyFont="1" applyFill="1" applyBorder="1" applyAlignment="1">
      <alignment horizontal="left" indent="1"/>
    </xf>
    <xf numFmtId="167" fontId="38" fillId="0" borderId="2" xfId="1" applyNumberFormat="1" applyFont="1" applyFill="1" applyBorder="1" applyAlignment="1" applyProtection="1"/>
    <xf numFmtId="167" fontId="5" fillId="0" borderId="9" xfId="1" applyNumberFormat="1" applyFont="1" applyFill="1" applyBorder="1" applyAlignment="1" applyProtection="1"/>
    <xf numFmtId="167" fontId="5" fillId="0" borderId="0" xfId="0" applyNumberFormat="1" applyFont="1"/>
    <xf numFmtId="174" fontId="2" fillId="0" borderId="0" xfId="1" applyNumberFormat="1" applyFont="1"/>
    <xf numFmtId="167" fontId="5" fillId="3" borderId="9" xfId="1" applyNumberFormat="1" applyFont="1" applyFill="1" applyBorder="1" applyAlignment="1" applyProtection="1"/>
    <xf numFmtId="167" fontId="5" fillId="2" borderId="9" xfId="1" applyNumberFormat="1" applyFont="1" applyFill="1" applyBorder="1" applyAlignment="1" applyProtection="1"/>
    <xf numFmtId="167" fontId="5" fillId="4" borderId="9" xfId="1" applyNumberFormat="1" applyFont="1" applyFill="1" applyBorder="1" applyAlignment="1" applyProtection="1"/>
    <xf numFmtId="174" fontId="23" fillId="0" borderId="0" xfId="1" applyNumberFormat="1" applyFont="1"/>
    <xf numFmtId="174" fontId="5" fillId="0" borderId="0" xfId="1" applyNumberFormat="1" applyFont="1"/>
    <xf numFmtId="0" fontId="38" fillId="0" borderId="0" xfId="0" applyFont="1" applyBorder="1"/>
    <xf numFmtId="0" fontId="38" fillId="0" borderId="7" xfId="0" applyFont="1" applyBorder="1"/>
    <xf numFmtId="0" fontId="2" fillId="0" borderId="30" xfId="0" applyFont="1" applyBorder="1"/>
    <xf numFmtId="169" fontId="2" fillId="0" borderId="31" xfId="1" applyNumberFormat="1" applyFont="1" applyBorder="1"/>
    <xf numFmtId="0" fontId="2" fillId="0" borderId="32" xfId="0" applyFont="1" applyBorder="1"/>
    <xf numFmtId="169" fontId="2" fillId="0" borderId="33" xfId="1" applyNumberFormat="1" applyFont="1" applyBorder="1"/>
    <xf numFmtId="174" fontId="2" fillId="0" borderId="33" xfId="1" applyNumberFormat="1" applyFont="1" applyBorder="1"/>
    <xf numFmtId="0" fontId="38" fillId="0" borderId="11" xfId="0" applyFont="1" applyBorder="1"/>
    <xf numFmtId="0" fontId="38" fillId="0" borderId="12" xfId="0" applyFont="1" applyBorder="1"/>
    <xf numFmtId="174" fontId="2" fillId="0" borderId="9" xfId="1" applyNumberFormat="1" applyFont="1" applyBorder="1"/>
    <xf numFmtId="174" fontId="2" fillId="0" borderId="8" xfId="1" applyNumberFormat="1" applyFont="1" applyBorder="1"/>
    <xf numFmtId="166" fontId="2" fillId="4" borderId="9" xfId="1" applyFont="1" applyFill="1" applyBorder="1"/>
    <xf numFmtId="49" fontId="23" fillId="0" borderId="0" xfId="0" applyNumberFormat="1" applyFont="1" applyAlignment="1">
      <alignment wrapText="1"/>
    </xf>
    <xf numFmtId="169" fontId="5" fillId="0" borderId="9" xfId="1" applyNumberFormat="1" applyFont="1" applyBorder="1"/>
    <xf numFmtId="174" fontId="5" fillId="0" borderId="34" xfId="1" applyNumberFormat="1" applyFont="1" applyBorder="1"/>
    <xf numFmtId="174" fontId="5" fillId="0" borderId="9" xfId="1" applyNumberFormat="1" applyFont="1" applyBorder="1"/>
    <xf numFmtId="0" fontId="38" fillId="0" borderId="0" xfId="0" applyFont="1" applyFill="1"/>
    <xf numFmtId="0" fontId="36" fillId="0" borderId="0" xfId="0" applyFont="1" applyFill="1"/>
    <xf numFmtId="0" fontId="5" fillId="0" borderId="0" xfId="0" applyFont="1" applyFill="1" applyAlignment="1">
      <alignment horizontal="left"/>
    </xf>
    <xf numFmtId="0" fontId="28" fillId="0" borderId="0" xfId="6" applyFont="1"/>
    <xf numFmtId="0" fontId="25" fillId="0" borderId="0" xfId="6" applyFont="1"/>
    <xf numFmtId="1" fontId="30" fillId="0" borderId="0" xfId="6" applyNumberFormat="1" applyFont="1" applyFill="1"/>
    <xf numFmtId="0" fontId="16" fillId="0" borderId="0" xfId="6" applyFont="1" applyAlignment="1">
      <alignment horizontal="justify" wrapText="1"/>
    </xf>
    <xf numFmtId="0" fontId="28" fillId="0" borderId="0" xfId="6" applyFont="1" applyBorder="1" applyAlignment="1">
      <alignment horizontal="center"/>
    </xf>
    <xf numFmtId="0" fontId="28" fillId="0" borderId="38" xfId="6" applyFont="1" applyBorder="1"/>
    <xf numFmtId="168" fontId="16" fillId="0" borderId="39" xfId="7" applyNumberFormat="1" applyFont="1" applyBorder="1"/>
    <xf numFmtId="0" fontId="28" fillId="0" borderId="39" xfId="6" applyFont="1" applyBorder="1"/>
    <xf numFmtId="168" fontId="16" fillId="0" borderId="40" xfId="7" applyNumberFormat="1" applyFont="1" applyBorder="1"/>
    <xf numFmtId="168" fontId="16" fillId="0" borderId="0" xfId="7" applyNumberFormat="1" applyFont="1" applyBorder="1"/>
    <xf numFmtId="0" fontId="25" fillId="0" borderId="38" xfId="6" applyFont="1" applyBorder="1" applyAlignment="1">
      <alignment horizontal="left"/>
    </xf>
    <xf numFmtId="0" fontId="25" fillId="0" borderId="38" xfId="6" applyFont="1" applyBorder="1"/>
    <xf numFmtId="0" fontId="25" fillId="0" borderId="39" xfId="6" applyFont="1" applyBorder="1"/>
    <xf numFmtId="0" fontId="28" fillId="0" borderId="38" xfId="6" applyFont="1" applyBorder="1" applyAlignment="1">
      <alignment horizontal="left"/>
    </xf>
    <xf numFmtId="168" fontId="28" fillId="0" borderId="40" xfId="7" applyNumberFormat="1" applyFont="1" applyBorder="1"/>
    <xf numFmtId="174" fontId="25" fillId="0" borderId="0" xfId="6" applyNumberFormat="1" applyFont="1"/>
    <xf numFmtId="168" fontId="16" fillId="2" borderId="39" xfId="7" applyNumberFormat="1" applyFont="1" applyFill="1" applyBorder="1"/>
    <xf numFmtId="0" fontId="27" fillId="0" borderId="39" xfId="6" applyFont="1" applyBorder="1"/>
    <xf numFmtId="168" fontId="16" fillId="2" borderId="40" xfId="7" applyNumberFormat="1" applyFont="1" applyFill="1" applyBorder="1"/>
    <xf numFmtId="0" fontId="28" fillId="0" borderId="41" xfId="6" applyFont="1" applyBorder="1"/>
    <xf numFmtId="168" fontId="28" fillId="0" borderId="42" xfId="7" applyNumberFormat="1" applyFont="1" applyBorder="1"/>
    <xf numFmtId="0" fontId="28" fillId="0" borderId="42" xfId="6" applyFont="1" applyBorder="1"/>
    <xf numFmtId="168" fontId="28" fillId="0" borderId="43" xfId="7" applyNumberFormat="1" applyFont="1" applyBorder="1"/>
    <xf numFmtId="168" fontId="28" fillId="0" borderId="0" xfId="7" applyNumberFormat="1" applyFont="1" applyBorder="1"/>
    <xf numFmtId="0" fontId="28" fillId="0" borderId="41" xfId="6" applyFont="1" applyBorder="1" applyAlignment="1">
      <alignment horizontal="left"/>
    </xf>
    <xf numFmtId="0" fontId="29" fillId="0" borderId="0" xfId="6" applyFont="1"/>
    <xf numFmtId="0" fontId="25" fillId="0" borderId="0" xfId="6" applyFont="1" applyAlignment="1">
      <alignment vertical="center"/>
    </xf>
    <xf numFmtId="0" fontId="26" fillId="0" borderId="0" xfId="6" applyFont="1" applyAlignment="1">
      <alignment horizontal="right" vertical="center"/>
    </xf>
    <xf numFmtId="168" fontId="30" fillId="0" borderId="44" xfId="6" applyNumberFormat="1" applyFont="1" applyBorder="1" applyAlignment="1">
      <alignment horizontal="center" vertical="center"/>
    </xf>
    <xf numFmtId="168" fontId="25" fillId="0" borderId="0" xfId="6" applyNumberFormat="1" applyFont="1" applyAlignment="1">
      <alignment vertical="center"/>
    </xf>
    <xf numFmtId="0" fontId="30" fillId="0" borderId="0" xfId="6" applyFont="1" applyAlignment="1">
      <alignment horizontal="center"/>
    </xf>
    <xf numFmtId="0" fontId="29" fillId="0" borderId="0" xfId="6" applyFont="1" applyBorder="1" applyAlignment="1">
      <alignment horizontal="left"/>
    </xf>
    <xf numFmtId="168" fontId="29" fillId="0" borderId="0" xfId="7" applyNumberFormat="1" applyFont="1" applyBorder="1"/>
    <xf numFmtId="0" fontId="25" fillId="0" borderId="0" xfId="6" applyFont="1" applyBorder="1"/>
    <xf numFmtId="0" fontId="30" fillId="0" borderId="0" xfId="6" applyFont="1"/>
    <xf numFmtId="0" fontId="30" fillId="0" borderId="0" xfId="6" applyFont="1" applyBorder="1" applyAlignment="1">
      <alignment horizontal="left"/>
    </xf>
    <xf numFmtId="168" fontId="30" fillId="0" borderId="0" xfId="7" applyNumberFormat="1" applyFont="1" applyBorder="1"/>
    <xf numFmtId="43" fontId="29" fillId="0" borderId="0" xfId="7" applyFont="1"/>
    <xf numFmtId="168" fontId="29" fillId="0" borderId="0" xfId="7" applyNumberFormat="1" applyFont="1" applyFill="1" applyBorder="1"/>
    <xf numFmtId="0" fontId="30" fillId="0" borderId="0" xfId="6" applyFont="1" applyBorder="1"/>
    <xf numFmtId="0" fontId="29" fillId="0" borderId="0" xfId="6" applyFont="1" applyBorder="1"/>
    <xf numFmtId="166" fontId="29" fillId="0" borderId="0" xfId="6" applyNumberFormat="1" applyFont="1"/>
    <xf numFmtId="168" fontId="29" fillId="0" borderId="0" xfId="6" applyNumberFormat="1" applyFont="1" applyBorder="1"/>
    <xf numFmtId="0" fontId="16" fillId="0" borderId="0" xfId="6" applyFont="1" applyAlignment="1">
      <alignment wrapText="1"/>
    </xf>
    <xf numFmtId="178" fontId="18" fillId="0" borderId="9" xfId="4" applyNumberFormat="1" applyFont="1" applyBorder="1" applyAlignment="1">
      <alignment horizontal="center" vertical="center" wrapText="1"/>
    </xf>
    <xf numFmtId="2" fontId="18" fillId="0" borderId="9" xfId="4" applyNumberFormat="1" applyFont="1" applyBorder="1" applyAlignment="1">
      <alignment horizontal="center" vertical="center" wrapText="1"/>
    </xf>
    <xf numFmtId="1" fontId="18" fillId="0" borderId="9" xfId="4" applyNumberFormat="1" applyFont="1" applyBorder="1" applyAlignment="1">
      <alignment horizontal="center" vertical="center" wrapText="1"/>
    </xf>
    <xf numFmtId="0" fontId="18" fillId="0" borderId="9" xfId="4" applyFont="1" applyBorder="1" applyAlignment="1">
      <alignment horizontal="center" vertical="center" wrapText="1"/>
    </xf>
    <xf numFmtId="0" fontId="17" fillId="0" borderId="9" xfId="4" applyFont="1" applyBorder="1" applyAlignment="1">
      <alignment horizontal="center" vertical="center" wrapText="1"/>
    </xf>
    <xf numFmtId="0" fontId="21" fillId="0" borderId="0" xfId="4" applyFont="1"/>
    <xf numFmtId="168" fontId="17" fillId="0" borderId="0" xfId="4" applyNumberFormat="1" applyFont="1" applyBorder="1"/>
    <xf numFmtId="0" fontId="28" fillId="0" borderId="0" xfId="4" applyFont="1"/>
    <xf numFmtId="0" fontId="16" fillId="0" borderId="0" xfId="4" applyFont="1"/>
    <xf numFmtId="0" fontId="30" fillId="2" borderId="0" xfId="4" applyFont="1" applyFill="1" applyAlignment="1">
      <alignment horizontal="center"/>
    </xf>
    <xf numFmtId="0" fontId="28" fillId="0" borderId="0" xfId="4" applyFont="1" applyBorder="1"/>
    <xf numFmtId="0" fontId="16" fillId="0" borderId="0" xfId="4" applyFont="1" applyBorder="1"/>
    <xf numFmtId="0" fontId="16" fillId="0" borderId="0" xfId="4" applyFont="1" applyAlignment="1">
      <alignment vertical="center" wrapText="1"/>
    </xf>
    <xf numFmtId="0" fontId="16" fillId="0" borderId="0" xfId="4" applyFont="1" applyAlignment="1">
      <alignment vertical="center"/>
    </xf>
    <xf numFmtId="0" fontId="21" fillId="0" borderId="0" xfId="4" applyFont="1" applyAlignment="1">
      <alignment horizontal="right" vertical="center"/>
    </xf>
    <xf numFmtId="0" fontId="21" fillId="0" borderId="0" xfId="4" applyFont="1" applyAlignment="1">
      <alignment horizontal="right"/>
    </xf>
    <xf numFmtId="0" fontId="28" fillId="0" borderId="0" xfId="4" applyFont="1" applyAlignment="1">
      <alignment vertical="top" wrapText="1"/>
    </xf>
    <xf numFmtId="0" fontId="16" fillId="2" borderId="0" xfId="4" applyFont="1" applyFill="1" applyAlignment="1">
      <alignment vertical="center" wrapText="1"/>
    </xf>
    <xf numFmtId="0" fontId="16" fillId="0" borderId="0" xfId="4" applyFont="1" applyFill="1" applyAlignment="1">
      <alignment vertical="center" wrapText="1"/>
    </xf>
    <xf numFmtId="0" fontId="28" fillId="0" borderId="0" xfId="4" applyFont="1" applyFill="1" applyAlignment="1">
      <alignment vertical="top" wrapText="1"/>
    </xf>
    <xf numFmtId="168" fontId="52" fillId="0" borderId="0" xfId="4" applyNumberFormat="1" applyFont="1" applyAlignment="1"/>
    <xf numFmtId="168" fontId="17" fillId="0" borderId="0" xfId="4" applyNumberFormat="1" applyFont="1"/>
    <xf numFmtId="0" fontId="32" fillId="0" borderId="0" xfId="4" applyFont="1" applyAlignment="1">
      <alignment vertical="center"/>
    </xf>
    <xf numFmtId="0" fontId="29" fillId="0" borderId="0" xfId="4" applyFont="1"/>
    <xf numFmtId="167" fontId="27" fillId="0" borderId="9" xfId="1" applyNumberFormat="1" applyFont="1" applyFill="1" applyBorder="1" applyAlignment="1" applyProtection="1"/>
    <xf numFmtId="0" fontId="18" fillId="2" borderId="0" xfId="4" applyFont="1" applyFill="1"/>
    <xf numFmtId="0" fontId="53" fillId="0" borderId="0" xfId="4" applyFont="1" applyFill="1"/>
    <xf numFmtId="0" fontId="53" fillId="2" borderId="0" xfId="4" applyFont="1" applyFill="1"/>
    <xf numFmtId="0" fontId="54" fillId="2" borderId="0" xfId="0" applyFont="1" applyFill="1"/>
    <xf numFmtId="0" fontId="54" fillId="0" borderId="0" xfId="0" applyFont="1"/>
    <xf numFmtId="0" fontId="54" fillId="0" borderId="0" xfId="0" applyFont="1" applyFill="1" applyBorder="1"/>
    <xf numFmtId="0" fontId="55" fillId="0" borderId="9" xfId="0" applyFont="1" applyBorder="1" applyAlignment="1">
      <alignment vertical="center"/>
    </xf>
    <xf numFmtId="0" fontId="55" fillId="0" borderId="9" xfId="0" applyFont="1" applyFill="1" applyBorder="1" applyAlignment="1">
      <alignment wrapText="1"/>
    </xf>
    <xf numFmtId="3" fontId="55" fillId="0" borderId="9" xfId="0" applyNumberFormat="1" applyFont="1" applyFill="1" applyBorder="1" applyAlignment="1">
      <alignment horizontal="center" wrapText="1"/>
    </xf>
    <xf numFmtId="3" fontId="55" fillId="0" borderId="9" xfId="0" applyNumberFormat="1" applyFont="1" applyFill="1" applyBorder="1" applyAlignment="1">
      <alignment horizontal="center" vertical="center" wrapText="1"/>
    </xf>
    <xf numFmtId="0" fontId="54" fillId="0" borderId="0" xfId="0" applyFont="1" applyFill="1" applyAlignment="1">
      <alignment wrapText="1"/>
    </xf>
    <xf numFmtId="0" fontId="56" fillId="2" borderId="9" xfId="0" applyFont="1" applyFill="1" applyBorder="1"/>
    <xf numFmtId="3" fontId="56" fillId="2" borderId="9" xfId="0" applyNumberFormat="1" applyFont="1" applyFill="1" applyBorder="1" applyAlignment="1">
      <alignment horizontal="center"/>
    </xf>
    <xf numFmtId="3" fontId="54" fillId="0" borderId="0" xfId="0" applyNumberFormat="1" applyFont="1"/>
    <xf numFmtId="0" fontId="56" fillId="0" borderId="0" xfId="0" applyFont="1" applyFill="1" applyBorder="1"/>
    <xf numFmtId="3" fontId="56" fillId="0" borderId="0" xfId="0" applyNumberFormat="1" applyFont="1" applyFill="1" applyBorder="1" applyAlignment="1">
      <alignment horizontal="center"/>
    </xf>
    <xf numFmtId="0" fontId="54" fillId="0" borderId="9" xfId="0" applyFont="1" applyBorder="1"/>
    <xf numFmtId="3" fontId="54" fillId="0" borderId="9" xfId="0" applyNumberFormat="1" applyFont="1" applyBorder="1" applyAlignment="1">
      <alignment horizontal="center"/>
    </xf>
    <xf numFmtId="0" fontId="55" fillId="0" borderId="0" xfId="0" applyFont="1" applyFill="1" applyBorder="1"/>
    <xf numFmtId="3" fontId="54" fillId="0" borderId="0" xfId="0" applyNumberFormat="1" applyFont="1" applyFill="1" applyBorder="1" applyAlignment="1">
      <alignment horizontal="center"/>
    </xf>
    <xf numFmtId="0" fontId="54" fillId="0" borderId="0" xfId="0" applyFont="1" applyBorder="1"/>
    <xf numFmtId="0" fontId="55" fillId="0" borderId="0" xfId="0" applyFont="1" applyBorder="1" applyAlignment="1">
      <alignment horizontal="center"/>
    </xf>
    <xf numFmtId="0" fontId="54" fillId="0" borderId="0" xfId="0" applyFont="1" applyFill="1" applyBorder="1" applyAlignment="1"/>
    <xf numFmtId="3" fontId="54" fillId="0" borderId="2" xfId="0" applyNumberFormat="1" applyFont="1" applyBorder="1" applyAlignment="1">
      <alignment horizontal="center"/>
    </xf>
    <xf numFmtId="0" fontId="54" fillId="0" borderId="2" xfId="0" applyFont="1" applyBorder="1"/>
    <xf numFmtId="3" fontId="54" fillId="0" borderId="2" xfId="0" applyNumberFormat="1" applyFont="1" applyBorder="1"/>
    <xf numFmtId="0" fontId="54" fillId="0" borderId="9" xfId="0" applyFont="1" applyBorder="1" applyAlignment="1"/>
    <xf numFmtId="0" fontId="1" fillId="0" borderId="2" xfId="0" applyFont="1" applyBorder="1"/>
    <xf numFmtId="0" fontId="1" fillId="0" borderId="1" xfId="0" applyFont="1" applyBorder="1" applyAlignment="1"/>
    <xf numFmtId="0" fontId="17" fillId="0" borderId="0" xfId="4" applyFont="1" applyAlignment="1">
      <alignment vertical="center" wrapText="1"/>
    </xf>
    <xf numFmtId="178" fontId="18" fillId="0" borderId="9" xfId="5" applyNumberFormat="1" applyFont="1" applyBorder="1" applyAlignment="1">
      <alignment horizontal="center" vertical="center" wrapText="1"/>
    </xf>
    <xf numFmtId="179" fontId="18" fillId="0" borderId="9" xfId="4" applyNumberFormat="1" applyFont="1" applyBorder="1" applyAlignment="1">
      <alignment horizontal="center" vertical="center" wrapText="1"/>
    </xf>
    <xf numFmtId="0" fontId="54" fillId="3" borderId="9" xfId="0" applyFont="1" applyFill="1" applyBorder="1" applyAlignment="1"/>
    <xf numFmtId="0" fontId="1" fillId="3" borderId="1" xfId="0" applyFont="1" applyFill="1" applyBorder="1" applyAlignment="1"/>
    <xf numFmtId="3" fontId="54" fillId="3" borderId="9" xfId="0" applyNumberFormat="1" applyFont="1" applyFill="1" applyBorder="1" applyAlignment="1">
      <alignment horizontal="center"/>
    </xf>
    <xf numFmtId="3" fontId="55" fillId="0" borderId="0" xfId="0" applyNumberFormat="1" applyFont="1" applyFill="1" applyBorder="1"/>
    <xf numFmtId="0" fontId="55" fillId="0" borderId="0" xfId="0" applyFont="1" applyFill="1" applyBorder="1" applyAlignment="1">
      <alignment wrapText="1"/>
    </xf>
    <xf numFmtId="0" fontId="1" fillId="0" borderId="0" xfId="0" applyFont="1" applyFill="1" applyBorder="1" applyAlignment="1">
      <alignment wrapText="1"/>
    </xf>
    <xf numFmtId="0" fontId="54" fillId="3" borderId="9" xfId="0" applyFont="1" applyFill="1" applyBorder="1"/>
    <xf numFmtId="168" fontId="57" fillId="0" borderId="12" xfId="4" applyNumberFormat="1" applyFont="1" applyBorder="1"/>
    <xf numFmtId="0" fontId="56" fillId="0" borderId="1" xfId="0" applyFont="1" applyBorder="1" applyAlignment="1">
      <alignment horizontal="center" vertical="center" wrapText="1"/>
    </xf>
    <xf numFmtId="0" fontId="56" fillId="0" borderId="2" xfId="0" applyFont="1" applyBorder="1" applyAlignment="1">
      <alignment horizontal="center" vertical="center" wrapText="1"/>
    </xf>
    <xf numFmtId="0" fontId="55" fillId="0" borderId="0" xfId="0" applyFont="1" applyFill="1" applyBorder="1" applyAlignment="1">
      <alignment horizontal="center" wrapText="1"/>
    </xf>
    <xf numFmtId="0" fontId="1" fillId="0" borderId="0" xfId="0" applyFont="1" applyFill="1" applyBorder="1" applyAlignment="1">
      <alignment horizontal="center" wrapText="1"/>
    </xf>
    <xf numFmtId="49" fontId="23" fillId="0" borderId="0" xfId="0" applyNumberFormat="1" applyFont="1" applyAlignment="1">
      <alignment horizontal="justify" wrapText="1"/>
    </xf>
    <xf numFmtId="0" fontId="37" fillId="0" borderId="12" xfId="0" applyFont="1" applyBorder="1" applyAlignment="1">
      <alignment horizontal="center"/>
    </xf>
    <xf numFmtId="0" fontId="49" fillId="0" borderId="12" xfId="0" applyFont="1" applyBorder="1" applyAlignment="1">
      <alignment horizontal="center"/>
    </xf>
    <xf numFmtId="0" fontId="38" fillId="0" borderId="1" xfId="0" applyFont="1" applyBorder="1" applyAlignment="1">
      <alignment horizontal="center"/>
    </xf>
    <xf numFmtId="0" fontId="38" fillId="0" borderId="2" xfId="0" applyFont="1" applyBorder="1" applyAlignment="1">
      <alignment horizontal="center"/>
    </xf>
    <xf numFmtId="0" fontId="38" fillId="0" borderId="3" xfId="0" applyFont="1" applyBorder="1" applyAlignment="1">
      <alignment horizontal="center"/>
    </xf>
    <xf numFmtId="0" fontId="4" fillId="0" borderId="0" xfId="0" applyFont="1" applyAlignment="1">
      <alignment horizontal="justify" wrapText="1"/>
    </xf>
    <xf numFmtId="49" fontId="6" fillId="0" borderId="9" xfId="0" applyNumberFormat="1" applyFont="1" applyBorder="1" applyAlignment="1">
      <alignment horizontal="center" wrapText="1"/>
    </xf>
    <xf numFmtId="0" fontId="3" fillId="0" borderId="1" xfId="0" applyFont="1" applyBorder="1" applyAlignment="1">
      <alignment horizontal="center" wrapText="1"/>
    </xf>
    <xf numFmtId="0" fontId="3" fillId="0" borderId="3" xfId="0" applyFont="1" applyBorder="1" applyAlignment="1">
      <alignment horizontal="center" wrapText="1"/>
    </xf>
    <xf numFmtId="0" fontId="34" fillId="9" borderId="0" xfId="0" applyFont="1" applyFill="1" applyAlignment="1">
      <alignment horizontal="center"/>
    </xf>
    <xf numFmtId="0" fontId="9" fillId="0" borderId="0" xfId="0" applyFont="1" applyAlignment="1">
      <alignment horizontal="center" wrapText="1"/>
    </xf>
    <xf numFmtId="0" fontId="16" fillId="0" borderId="0" xfId="6" applyFont="1" applyAlignment="1">
      <alignment horizontal="justify" wrapText="1"/>
    </xf>
    <xf numFmtId="0" fontId="28" fillId="0" borderId="35" xfId="6" applyFont="1" applyBorder="1" applyAlignment="1">
      <alignment horizontal="center"/>
    </xf>
    <xf numFmtId="0" fontId="28" fillId="0" borderId="36" xfId="6" applyFont="1" applyBorder="1" applyAlignment="1">
      <alignment horizontal="center"/>
    </xf>
    <xf numFmtId="0" fontId="28" fillId="0" borderId="37" xfId="6" applyFont="1" applyBorder="1" applyAlignment="1">
      <alignment horizontal="center"/>
    </xf>
    <xf numFmtId="0" fontId="28" fillId="0" borderId="0" xfId="6" applyFont="1" applyAlignment="1">
      <alignment horizontal="justify" wrapText="1"/>
    </xf>
    <xf numFmtId="0" fontId="16" fillId="0" borderId="0" xfId="4" applyFont="1" applyAlignment="1">
      <alignment horizontal="justify" vertical="top" wrapText="1"/>
    </xf>
    <xf numFmtId="0" fontId="16" fillId="0" borderId="0" xfId="4" applyFont="1" applyAlignment="1">
      <alignment horizontal="justify" vertical="center" wrapText="1"/>
    </xf>
    <xf numFmtId="0" fontId="17" fillId="0" borderId="0" xfId="4" applyFont="1" applyAlignment="1">
      <alignment horizontal="center" vertical="center" wrapText="1"/>
    </xf>
    <xf numFmtId="0" fontId="18" fillId="0" borderId="9" xfId="4" applyFont="1" applyBorder="1" applyAlignment="1">
      <alignment horizontal="left" vertical="center" wrapText="1"/>
    </xf>
    <xf numFmtId="0" fontId="17" fillId="0" borderId="9" xfId="4" applyFont="1" applyBorder="1" applyAlignment="1">
      <alignment horizontal="center" wrapText="1"/>
    </xf>
  </cellXfs>
  <cellStyles count="8">
    <cellStyle name="Comma" xfId="1" builtinId="3"/>
    <cellStyle name="Currency" xfId="2" builtinId="4"/>
    <cellStyle name="Normal" xfId="0" builtinId="0"/>
    <cellStyle name="Normal 2" xfId="4" xr:uid="{00000000-0005-0000-0000-000002000000}"/>
    <cellStyle name="Normal 2 2" xfId="6" xr:uid="{00000000-0005-0000-0000-000003000000}"/>
    <cellStyle name="Porcentagem 2" xfId="5" xr:uid="{00000000-0005-0000-0000-000004000000}"/>
    <cellStyle name="Vírgula 2" xfId="3" xr:uid="{00000000-0005-0000-0000-000006000000}"/>
    <cellStyle name="Vírgula 2 2" xfId="7"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36"/>
  <sheetViews>
    <sheetView tabSelected="1" topLeftCell="E1" zoomScaleNormal="100" workbookViewId="0">
      <selection activeCell="S33" sqref="S33"/>
    </sheetView>
  </sheetViews>
  <sheetFormatPr defaultColWidth="36.33203125" defaultRowHeight="13.8" x14ac:dyDescent="0.25"/>
  <cols>
    <col min="1" max="1" width="36.33203125" style="348"/>
    <col min="2" max="18" width="13.44140625" style="348" customWidth="1"/>
    <col min="19" max="19" width="36.33203125" style="349"/>
    <col min="20" max="20" width="9.44140625" style="349" bestFit="1" customWidth="1"/>
    <col min="21" max="21" width="24.6640625" style="349" bestFit="1" customWidth="1"/>
    <col min="22" max="22" width="9" style="349" bestFit="1" customWidth="1"/>
    <col min="23" max="16384" width="36.33203125" style="348"/>
  </cols>
  <sheetData>
    <row r="1" spans="1:22" ht="22.8" x14ac:dyDescent="0.4">
      <c r="A1" s="345" t="s">
        <v>249</v>
      </c>
      <c r="B1" s="346" t="s">
        <v>460</v>
      </c>
      <c r="C1" s="347"/>
      <c r="D1" s="347"/>
      <c r="E1" s="347"/>
      <c r="F1" s="347"/>
      <c r="G1" s="347"/>
      <c r="H1" s="347"/>
    </row>
    <row r="2" spans="1:22" ht="22.8" x14ac:dyDescent="0.4">
      <c r="A2" s="345"/>
    </row>
    <row r="3" spans="1:22" x14ac:dyDescent="0.25">
      <c r="A3" s="350" t="s">
        <v>419</v>
      </c>
      <c r="B3" s="384" t="s">
        <v>420</v>
      </c>
      <c r="C3" s="385"/>
      <c r="D3" s="385"/>
      <c r="E3" s="385"/>
      <c r="F3" s="385"/>
      <c r="G3" s="385"/>
      <c r="H3" s="385"/>
      <c r="I3" s="385"/>
      <c r="J3" s="385"/>
      <c r="K3" s="385"/>
      <c r="L3" s="385"/>
      <c r="M3" s="385"/>
      <c r="N3" s="385"/>
      <c r="O3" s="385"/>
    </row>
    <row r="4" spans="1:22" s="354" customFormat="1" ht="28.2" x14ac:dyDescent="0.3">
      <c r="A4" s="351"/>
      <c r="B4" s="352" t="s">
        <v>421</v>
      </c>
      <c r="C4" s="353" t="s">
        <v>422</v>
      </c>
      <c r="D4" s="353" t="s">
        <v>423</v>
      </c>
      <c r="E4" s="353" t="s">
        <v>424</v>
      </c>
      <c r="F4" s="353" t="s">
        <v>425</v>
      </c>
      <c r="G4" s="353" t="s">
        <v>426</v>
      </c>
      <c r="H4" s="353" t="s">
        <v>427</v>
      </c>
      <c r="I4" s="353" t="s">
        <v>428</v>
      </c>
      <c r="J4" s="353" t="s">
        <v>429</v>
      </c>
      <c r="K4" s="353" t="s">
        <v>430</v>
      </c>
      <c r="L4" s="353" t="s">
        <v>431</v>
      </c>
      <c r="M4" s="353" t="s">
        <v>432</v>
      </c>
      <c r="N4" s="353" t="s">
        <v>433</v>
      </c>
      <c r="O4" s="352" t="s">
        <v>434</v>
      </c>
      <c r="S4" s="380" t="s">
        <v>457</v>
      </c>
      <c r="T4" s="381"/>
      <c r="U4" s="381"/>
      <c r="V4" s="381"/>
    </row>
    <row r="5" spans="1:22" x14ac:dyDescent="0.25">
      <c r="A5" s="355" t="s">
        <v>417</v>
      </c>
      <c r="B5" s="356">
        <f>SUM(B6:B13)</f>
        <v>0</v>
      </c>
      <c r="C5" s="356">
        <f t="shared" ref="C5:O5" si="0">SUM(C6:C13)</f>
        <v>380000</v>
      </c>
      <c r="D5" s="356">
        <f t="shared" si="0"/>
        <v>165000</v>
      </c>
      <c r="E5" s="356">
        <f t="shared" si="0"/>
        <v>-14320</v>
      </c>
      <c r="F5" s="356">
        <f t="shared" si="0"/>
        <v>-45000</v>
      </c>
      <c r="G5" s="356">
        <f t="shared" si="0"/>
        <v>-2000</v>
      </c>
      <c r="H5" s="356">
        <f t="shared" si="0"/>
        <v>-1000</v>
      </c>
      <c r="I5" s="356">
        <f t="shared" si="0"/>
        <v>0</v>
      </c>
      <c r="J5" s="356">
        <f t="shared" si="0"/>
        <v>-13750</v>
      </c>
      <c r="K5" s="356">
        <f t="shared" si="0"/>
        <v>-3750</v>
      </c>
      <c r="L5" s="356">
        <f t="shared" si="0"/>
        <v>0</v>
      </c>
      <c r="M5" s="356">
        <f t="shared" si="0"/>
        <v>0</v>
      </c>
      <c r="N5" s="356">
        <f t="shared" si="0"/>
        <v>0</v>
      </c>
      <c r="O5" s="356">
        <f t="shared" si="0"/>
        <v>465180</v>
      </c>
      <c r="P5" s="357"/>
      <c r="S5" s="358" t="s">
        <v>417</v>
      </c>
      <c r="T5" s="359">
        <f>O5</f>
        <v>465180</v>
      </c>
      <c r="U5" s="358" t="s">
        <v>440</v>
      </c>
      <c r="V5" s="359">
        <f>O14</f>
        <v>465180</v>
      </c>
    </row>
    <row r="6" spans="1:22" x14ac:dyDescent="0.25">
      <c r="A6" s="360" t="s">
        <v>1</v>
      </c>
      <c r="B6" s="361"/>
      <c r="C6" s="361"/>
      <c r="D6" s="361"/>
      <c r="E6" s="361"/>
      <c r="F6" s="361"/>
      <c r="G6" s="361"/>
      <c r="H6" s="361"/>
      <c r="I6" s="361"/>
      <c r="J6" s="361"/>
      <c r="K6" s="361"/>
      <c r="L6" s="361"/>
      <c r="M6" s="361"/>
      <c r="N6" s="361"/>
      <c r="O6" s="361" t="str">
        <f>IF(SUM(B6:N6)=0,"",SUM(B6:N6))</f>
        <v/>
      </c>
      <c r="S6" s="362" t="s">
        <v>1</v>
      </c>
      <c r="T6" s="363">
        <f>SUM(T7:T8)</f>
        <v>122680</v>
      </c>
      <c r="U6" s="362" t="s">
        <v>87</v>
      </c>
      <c r="V6" s="363">
        <f>SUM(V7:V10)</f>
        <v>28074</v>
      </c>
    </row>
    <row r="7" spans="1:22" x14ac:dyDescent="0.25">
      <c r="A7" s="360" t="s">
        <v>435</v>
      </c>
      <c r="B7" s="361"/>
      <c r="C7" s="361">
        <v>20000</v>
      </c>
      <c r="D7" s="361">
        <f>D24-D8</f>
        <v>107000</v>
      </c>
      <c r="E7" s="361">
        <v>-14320</v>
      </c>
      <c r="F7" s="361">
        <v>-45000</v>
      </c>
      <c r="G7" s="361">
        <v>-2000</v>
      </c>
      <c r="H7" s="361">
        <v>-1000</v>
      </c>
      <c r="I7" s="361"/>
      <c r="J7" s="361"/>
      <c r="K7" s="361"/>
      <c r="L7" s="361"/>
      <c r="M7" s="361"/>
      <c r="N7" s="361"/>
      <c r="O7" s="361">
        <f t="shared" ref="O7:O13" si="1">IF(SUM(B7:N7)=0,"",SUM(B7:N7))</f>
        <v>64680</v>
      </c>
      <c r="S7" s="349" t="s">
        <v>435</v>
      </c>
      <c r="T7" s="363">
        <f>O7</f>
        <v>64680</v>
      </c>
      <c r="U7" s="349" t="s">
        <v>441</v>
      </c>
      <c r="V7" s="363" t="str">
        <f>O16</f>
        <v/>
      </c>
    </row>
    <row r="8" spans="1:22" x14ac:dyDescent="0.25">
      <c r="A8" s="360" t="s">
        <v>436</v>
      </c>
      <c r="B8" s="361"/>
      <c r="C8" s="361"/>
      <c r="D8" s="361">
        <v>58000</v>
      </c>
      <c r="E8" s="361"/>
      <c r="F8" s="361"/>
      <c r="G8" s="361"/>
      <c r="H8" s="361"/>
      <c r="I8" s="361"/>
      <c r="J8" s="361"/>
      <c r="K8" s="361"/>
      <c r="L8" s="361"/>
      <c r="M8" s="361"/>
      <c r="N8" s="361"/>
      <c r="O8" s="361">
        <f t="shared" si="1"/>
        <v>58000</v>
      </c>
      <c r="S8" s="349" t="s">
        <v>436</v>
      </c>
      <c r="T8" s="363">
        <f>O8</f>
        <v>58000</v>
      </c>
      <c r="U8" s="349" t="s">
        <v>442</v>
      </c>
      <c r="V8" s="363">
        <f t="shared" ref="V8:V10" si="2">O17</f>
        <v>24474</v>
      </c>
    </row>
    <row r="9" spans="1:22" x14ac:dyDescent="0.25">
      <c r="A9" s="360" t="s">
        <v>10</v>
      </c>
      <c r="B9" s="361"/>
      <c r="C9" s="361"/>
      <c r="D9" s="361"/>
      <c r="E9" s="361"/>
      <c r="F9" s="361"/>
      <c r="G9" s="361"/>
      <c r="H9" s="361"/>
      <c r="I9" s="361"/>
      <c r="J9" s="361"/>
      <c r="K9" s="361"/>
      <c r="L9" s="361"/>
      <c r="M9" s="361"/>
      <c r="N9" s="361"/>
      <c r="O9" s="361" t="str">
        <f t="shared" si="1"/>
        <v/>
      </c>
      <c r="U9" s="349" t="s">
        <v>443</v>
      </c>
      <c r="V9" s="363" t="str">
        <f t="shared" si="2"/>
        <v/>
      </c>
    </row>
    <row r="10" spans="1:22" x14ac:dyDescent="0.25">
      <c r="A10" s="360" t="s">
        <v>437</v>
      </c>
      <c r="B10" s="361"/>
      <c r="C10" s="361">
        <f>28000+2000</f>
        <v>30000</v>
      </c>
      <c r="D10" s="361"/>
      <c r="E10" s="361"/>
      <c r="F10" s="361"/>
      <c r="G10" s="361"/>
      <c r="H10" s="361"/>
      <c r="I10" s="361"/>
      <c r="J10" s="361"/>
      <c r="K10" s="361"/>
      <c r="L10" s="361"/>
      <c r="M10" s="361"/>
      <c r="N10" s="361"/>
      <c r="O10" s="361">
        <f t="shared" si="1"/>
        <v>30000</v>
      </c>
      <c r="U10" s="349" t="s">
        <v>444</v>
      </c>
      <c r="V10" s="363">
        <f t="shared" si="2"/>
        <v>3600</v>
      </c>
    </row>
    <row r="11" spans="1:22" x14ac:dyDescent="0.25">
      <c r="A11" s="360" t="s">
        <v>438</v>
      </c>
      <c r="B11" s="361"/>
      <c r="C11" s="361"/>
      <c r="D11" s="361"/>
      <c r="E11" s="361"/>
      <c r="F11" s="361"/>
      <c r="G11" s="361"/>
      <c r="H11" s="361"/>
      <c r="I11" s="361"/>
      <c r="J11" s="361"/>
      <c r="K11" s="361">
        <f>-(C10/(2*12))*3</f>
        <v>-3750</v>
      </c>
      <c r="L11" s="361"/>
      <c r="M11" s="361"/>
      <c r="N11" s="361"/>
      <c r="O11" s="361">
        <f t="shared" si="1"/>
        <v>-3750</v>
      </c>
      <c r="S11" s="362" t="s">
        <v>10</v>
      </c>
      <c r="T11" s="363">
        <f>SUM(T12:T15)</f>
        <v>342500</v>
      </c>
      <c r="U11" s="362" t="s">
        <v>418</v>
      </c>
      <c r="V11" s="363">
        <f>SUM(V12:V15)</f>
        <v>437106</v>
      </c>
    </row>
    <row r="12" spans="1:22" x14ac:dyDescent="0.25">
      <c r="A12" s="360" t="s">
        <v>439</v>
      </c>
      <c r="B12" s="361"/>
      <c r="C12" s="361">
        <f>30000*11</f>
        <v>330000</v>
      </c>
      <c r="D12" s="361"/>
      <c r="E12" s="361"/>
      <c r="F12" s="361"/>
      <c r="G12" s="361"/>
      <c r="H12" s="361"/>
      <c r="I12" s="361"/>
      <c r="J12" s="361"/>
      <c r="K12" s="361"/>
      <c r="L12" s="361"/>
      <c r="M12" s="361"/>
      <c r="N12" s="361"/>
      <c r="O12" s="361">
        <f t="shared" si="1"/>
        <v>330000</v>
      </c>
      <c r="S12" s="349" t="s">
        <v>437</v>
      </c>
      <c r="T12" s="363">
        <f>O10</f>
        <v>30000</v>
      </c>
      <c r="U12" s="349" t="s">
        <v>445</v>
      </c>
      <c r="V12" s="363">
        <f>O21</f>
        <v>120000</v>
      </c>
    </row>
    <row r="13" spans="1:22" x14ac:dyDescent="0.25">
      <c r="A13" s="360" t="s">
        <v>438</v>
      </c>
      <c r="B13" s="361"/>
      <c r="C13" s="361"/>
      <c r="D13" s="361"/>
      <c r="E13" s="361"/>
      <c r="F13" s="361"/>
      <c r="G13" s="361"/>
      <c r="H13" s="361"/>
      <c r="I13" s="361"/>
      <c r="J13" s="361">
        <f>-(C12/(6*12))*3</f>
        <v>-13750</v>
      </c>
      <c r="K13" s="361"/>
      <c r="L13" s="361"/>
      <c r="M13" s="361"/>
      <c r="N13" s="361"/>
      <c r="O13" s="361">
        <f t="shared" si="1"/>
        <v>-13750</v>
      </c>
      <c r="S13" s="349" t="s">
        <v>438</v>
      </c>
      <c r="T13" s="363">
        <f t="shared" ref="T13:T15" si="3">O11</f>
        <v>-3750</v>
      </c>
      <c r="U13" s="349" t="s">
        <v>16</v>
      </c>
      <c r="V13" s="363" t="str">
        <f t="shared" ref="V13:V15" si="4">O22</f>
        <v/>
      </c>
    </row>
    <row r="14" spans="1:22" x14ac:dyDescent="0.25">
      <c r="A14" s="355" t="s">
        <v>440</v>
      </c>
      <c r="B14" s="356">
        <f>SUM(B15:B24)</f>
        <v>0</v>
      </c>
      <c r="C14" s="356">
        <f t="shared" ref="C14:O14" si="5">SUM(C15:C24)</f>
        <v>380000</v>
      </c>
      <c r="D14" s="356">
        <f t="shared" si="5"/>
        <v>165000</v>
      </c>
      <c r="E14" s="356">
        <f t="shared" si="5"/>
        <v>-14320</v>
      </c>
      <c r="F14" s="356">
        <f t="shared" si="5"/>
        <v>-45000</v>
      </c>
      <c r="G14" s="356">
        <f t="shared" si="5"/>
        <v>-2000</v>
      </c>
      <c r="H14" s="356">
        <f t="shared" si="5"/>
        <v>-1000</v>
      </c>
      <c r="I14" s="356">
        <f t="shared" si="5"/>
        <v>0</v>
      </c>
      <c r="J14" s="356">
        <f t="shared" si="5"/>
        <v>-13750</v>
      </c>
      <c r="K14" s="356">
        <f t="shared" si="5"/>
        <v>-3750</v>
      </c>
      <c r="L14" s="356">
        <f t="shared" si="5"/>
        <v>0</v>
      </c>
      <c r="M14" s="356">
        <f t="shared" si="5"/>
        <v>0</v>
      </c>
      <c r="N14" s="356">
        <f t="shared" si="5"/>
        <v>0</v>
      </c>
      <c r="O14" s="356">
        <f t="shared" si="5"/>
        <v>465180</v>
      </c>
      <c r="P14" s="357"/>
      <c r="Q14" s="364"/>
      <c r="R14" s="364"/>
      <c r="S14" s="349" t="s">
        <v>439</v>
      </c>
      <c r="T14" s="363">
        <f t="shared" si="3"/>
        <v>330000</v>
      </c>
      <c r="U14" s="349" t="s">
        <v>446</v>
      </c>
      <c r="V14" s="363">
        <f t="shared" si="4"/>
        <v>260000</v>
      </c>
    </row>
    <row r="15" spans="1:22" x14ac:dyDescent="0.25">
      <c r="A15" s="360" t="s">
        <v>87</v>
      </c>
      <c r="B15" s="361"/>
      <c r="C15" s="361"/>
      <c r="D15" s="361"/>
      <c r="E15" s="361"/>
      <c r="F15" s="361"/>
      <c r="G15" s="361"/>
      <c r="H15" s="361"/>
      <c r="I15" s="361"/>
      <c r="J15" s="361"/>
      <c r="K15" s="361"/>
      <c r="L15" s="361"/>
      <c r="M15" s="361"/>
      <c r="N15" s="361"/>
      <c r="O15" s="361" t="str">
        <f t="shared" ref="O15:O24" si="6">IF(SUM(B15:N15)=0,"",SUM(B15:N15))</f>
        <v/>
      </c>
      <c r="Q15" s="365"/>
      <c r="R15" s="365"/>
      <c r="S15" s="349" t="s">
        <v>438</v>
      </c>
      <c r="T15" s="363">
        <f t="shared" si="3"/>
        <v>-13750</v>
      </c>
      <c r="U15" s="349" t="s">
        <v>447</v>
      </c>
      <c r="V15" s="363">
        <f t="shared" si="4"/>
        <v>57106</v>
      </c>
    </row>
    <row r="16" spans="1:22" x14ac:dyDescent="0.25">
      <c r="A16" s="360" t="s">
        <v>441</v>
      </c>
      <c r="B16" s="361"/>
      <c r="C16" s="361"/>
      <c r="D16" s="361"/>
      <c r="E16" s="361"/>
      <c r="F16" s="361"/>
      <c r="G16" s="361"/>
      <c r="H16" s="361"/>
      <c r="I16" s="361"/>
      <c r="J16" s="361"/>
      <c r="K16" s="361"/>
      <c r="L16" s="361"/>
      <c r="M16" s="361"/>
      <c r="N16" s="361"/>
      <c r="O16" s="361" t="str">
        <f t="shared" si="6"/>
        <v/>
      </c>
      <c r="S16" s="362" t="s">
        <v>115</v>
      </c>
      <c r="T16" s="379">
        <f>SUM(T11,T6)</f>
        <v>465180</v>
      </c>
      <c r="U16" s="362" t="s">
        <v>459</v>
      </c>
      <c r="V16" s="379">
        <f>V6+V11</f>
        <v>465180</v>
      </c>
    </row>
    <row r="17" spans="1:22" x14ac:dyDescent="0.25">
      <c r="A17" s="360" t="s">
        <v>442</v>
      </c>
      <c r="B17" s="361"/>
      <c r="C17" s="361"/>
      <c r="D17" s="361"/>
      <c r="E17" s="361"/>
      <c r="F17" s="361"/>
      <c r="G17" s="361"/>
      <c r="H17" s="361"/>
      <c r="I17" s="361"/>
      <c r="J17" s="361"/>
      <c r="K17" s="361"/>
      <c r="L17" s="361">
        <f>SUM(D24:K24)*0.3</f>
        <v>24474</v>
      </c>
      <c r="M17" s="361"/>
      <c r="N17" s="361"/>
      <c r="O17" s="361">
        <f t="shared" si="6"/>
        <v>24474</v>
      </c>
    </row>
    <row r="18" spans="1:22" ht="14.4" x14ac:dyDescent="0.3">
      <c r="A18" s="360" t="s">
        <v>443</v>
      </c>
      <c r="B18" s="361"/>
      <c r="C18" s="361"/>
      <c r="D18" s="361"/>
      <c r="E18" s="361"/>
      <c r="F18" s="361"/>
      <c r="G18" s="361"/>
      <c r="H18" s="361"/>
      <c r="I18" s="361"/>
      <c r="J18" s="361"/>
      <c r="K18" s="361"/>
      <c r="L18" s="361"/>
      <c r="M18" s="361"/>
      <c r="N18" s="361"/>
      <c r="O18" s="361" t="str">
        <f t="shared" si="6"/>
        <v/>
      </c>
      <c r="S18" s="386" t="s">
        <v>458</v>
      </c>
      <c r="T18" s="387"/>
    </row>
    <row r="19" spans="1:22" x14ac:dyDescent="0.25">
      <c r="A19" s="360" t="s">
        <v>444</v>
      </c>
      <c r="B19" s="361"/>
      <c r="C19" s="361"/>
      <c r="D19" s="361"/>
      <c r="E19" s="361"/>
      <c r="F19" s="361"/>
      <c r="G19" s="361"/>
      <c r="H19" s="361"/>
      <c r="I19" s="361">
        <f>C21*3%</f>
        <v>3600</v>
      </c>
      <c r="J19" s="361"/>
      <c r="K19" s="361"/>
      <c r="L19" s="361"/>
      <c r="M19" s="361"/>
      <c r="N19" s="361"/>
      <c r="O19" s="361">
        <f t="shared" si="6"/>
        <v>3600</v>
      </c>
      <c r="S19" s="366" t="s">
        <v>449</v>
      </c>
      <c r="T19" s="363">
        <f>O27</f>
        <v>165000</v>
      </c>
      <c r="V19" s="363"/>
    </row>
    <row r="20" spans="1:22" x14ac:dyDescent="0.25">
      <c r="A20" s="360" t="s">
        <v>418</v>
      </c>
      <c r="B20" s="361"/>
      <c r="C20" s="361"/>
      <c r="D20" s="361"/>
      <c r="E20" s="361"/>
      <c r="F20" s="361"/>
      <c r="G20" s="361"/>
      <c r="H20" s="361"/>
      <c r="I20" s="361"/>
      <c r="J20" s="361"/>
      <c r="K20" s="361"/>
      <c r="L20" s="361"/>
      <c r="M20" s="361"/>
      <c r="N20" s="361"/>
      <c r="O20" s="361" t="str">
        <f t="shared" si="6"/>
        <v/>
      </c>
      <c r="S20" s="366" t="s">
        <v>450</v>
      </c>
      <c r="T20" s="363">
        <f t="shared" ref="T20:T24" si="7">O28</f>
        <v>-58750</v>
      </c>
      <c r="V20" s="363"/>
    </row>
    <row r="21" spans="1:22" x14ac:dyDescent="0.25">
      <c r="A21" s="360" t="s">
        <v>445</v>
      </c>
      <c r="B21" s="361"/>
      <c r="C21" s="361">
        <v>120000</v>
      </c>
      <c r="D21" s="361"/>
      <c r="E21" s="361"/>
      <c r="F21" s="361"/>
      <c r="G21" s="361"/>
      <c r="H21" s="361"/>
      <c r="I21" s="361"/>
      <c r="J21" s="361"/>
      <c r="K21" s="361"/>
      <c r="L21" s="361"/>
      <c r="M21" s="361"/>
      <c r="N21" s="361"/>
      <c r="O21" s="361">
        <f t="shared" si="6"/>
        <v>120000</v>
      </c>
      <c r="S21" s="366" t="s">
        <v>44</v>
      </c>
      <c r="T21" s="363">
        <f>O29</f>
        <v>106250</v>
      </c>
      <c r="V21" s="363"/>
    </row>
    <row r="22" spans="1:22" x14ac:dyDescent="0.25">
      <c r="A22" s="382" t="s">
        <v>16</v>
      </c>
      <c r="B22" s="378"/>
      <c r="C22" s="378"/>
      <c r="D22" s="378"/>
      <c r="E22" s="378"/>
      <c r="F22" s="378"/>
      <c r="G22" s="378"/>
      <c r="H22" s="378"/>
      <c r="I22" s="378"/>
      <c r="J22" s="378"/>
      <c r="K22" s="378"/>
      <c r="L22" s="378"/>
      <c r="M22" s="378"/>
      <c r="N22" s="378"/>
      <c r="O22" s="378" t="str">
        <f t="shared" si="6"/>
        <v/>
      </c>
      <c r="S22" s="366" t="s">
        <v>451</v>
      </c>
      <c r="T22" s="363">
        <f t="shared" si="7"/>
        <v>-2000</v>
      </c>
      <c r="V22" s="363"/>
    </row>
    <row r="23" spans="1:22" x14ac:dyDescent="0.25">
      <c r="A23" s="360" t="s">
        <v>446</v>
      </c>
      <c r="B23" s="361"/>
      <c r="C23" s="361">
        <v>260000</v>
      </c>
      <c r="D23" s="361"/>
      <c r="E23" s="361"/>
      <c r="F23" s="361"/>
      <c r="G23" s="361"/>
      <c r="H23" s="361"/>
      <c r="I23" s="361"/>
      <c r="J23" s="361"/>
      <c r="K23" s="361"/>
      <c r="L23" s="361"/>
      <c r="M23" s="361"/>
      <c r="N23" s="361"/>
      <c r="O23" s="361">
        <f t="shared" si="6"/>
        <v>260000</v>
      </c>
      <c r="S23" s="366" t="s">
        <v>452</v>
      </c>
      <c r="T23" s="363">
        <f t="shared" si="7"/>
        <v>-19070</v>
      </c>
      <c r="V23" s="363"/>
    </row>
    <row r="24" spans="1:22" x14ac:dyDescent="0.25">
      <c r="A24" s="360" t="s">
        <v>447</v>
      </c>
      <c r="B24" s="361"/>
      <c r="C24" s="361"/>
      <c r="D24" s="361">
        <v>165000</v>
      </c>
      <c r="E24" s="361">
        <v>-14320</v>
      </c>
      <c r="F24" s="361">
        <v>-45000</v>
      </c>
      <c r="G24" s="361">
        <v>-2000</v>
      </c>
      <c r="H24" s="361">
        <v>-1000</v>
      </c>
      <c r="I24" s="361">
        <f>-C21*3%</f>
        <v>-3600</v>
      </c>
      <c r="J24" s="361">
        <f>J13</f>
        <v>-13750</v>
      </c>
      <c r="K24" s="361">
        <f>K11</f>
        <v>-3750</v>
      </c>
      <c r="L24" s="361">
        <f>-L17</f>
        <v>-24474</v>
      </c>
      <c r="M24" s="361"/>
      <c r="N24" s="361"/>
      <c r="O24" s="361">
        <f t="shared" si="6"/>
        <v>57106</v>
      </c>
      <c r="S24" s="366" t="s">
        <v>453</v>
      </c>
      <c r="T24" s="363">
        <f t="shared" si="7"/>
        <v>85180</v>
      </c>
      <c r="V24" s="363"/>
    </row>
    <row r="25" spans="1:22" ht="9.75" customHeight="1" x14ac:dyDescent="0.25">
      <c r="A25" s="360"/>
      <c r="B25" s="367"/>
      <c r="C25" s="367"/>
      <c r="D25" s="367"/>
      <c r="E25" s="367"/>
      <c r="F25" s="367"/>
      <c r="G25" s="367"/>
      <c r="H25" s="367"/>
      <c r="I25" s="367"/>
      <c r="J25" s="367"/>
      <c r="K25" s="367"/>
      <c r="L25" s="367"/>
      <c r="M25" s="367"/>
      <c r="N25" s="367"/>
      <c r="O25" s="367"/>
      <c r="S25" s="366"/>
      <c r="T25" s="363"/>
      <c r="V25" s="363"/>
    </row>
    <row r="26" spans="1:22" x14ac:dyDescent="0.25">
      <c r="A26" s="350" t="s">
        <v>448</v>
      </c>
      <c r="B26" s="368"/>
      <c r="C26" s="369"/>
      <c r="D26" s="369"/>
      <c r="E26" s="369"/>
      <c r="F26" s="369"/>
      <c r="G26" s="369"/>
      <c r="H26" s="369"/>
      <c r="I26" s="369"/>
      <c r="J26" s="369"/>
      <c r="K26" s="369"/>
      <c r="L26" s="369"/>
      <c r="M26" s="369"/>
      <c r="N26" s="369"/>
      <c r="O26" s="368"/>
      <c r="S26" s="366" t="s">
        <v>454</v>
      </c>
      <c r="T26" s="363">
        <f>O33</f>
        <v>-3600</v>
      </c>
      <c r="V26" s="363"/>
    </row>
    <row r="27" spans="1:22" ht="14.4" x14ac:dyDescent="0.3">
      <c r="A27" s="370" t="s">
        <v>449</v>
      </c>
      <c r="B27" s="371"/>
      <c r="C27" s="361"/>
      <c r="D27" s="361">
        <v>165000</v>
      </c>
      <c r="E27" s="361"/>
      <c r="F27" s="361"/>
      <c r="G27" s="361"/>
      <c r="H27" s="361"/>
      <c r="I27" s="361"/>
      <c r="J27" s="361"/>
      <c r="K27" s="361"/>
      <c r="L27" s="361"/>
      <c r="M27" s="361"/>
      <c r="N27" s="361"/>
      <c r="O27" s="361">
        <f t="shared" ref="O27:O35" si="8">IF(SUM(B27:N27)=0,"",SUM(B27:N27))</f>
        <v>165000</v>
      </c>
      <c r="S27" s="366" t="s">
        <v>455</v>
      </c>
      <c r="T27" s="363">
        <f>O34</f>
        <v>81580</v>
      </c>
      <c r="V27" s="363"/>
    </row>
    <row r="28" spans="1:22" ht="14.4" x14ac:dyDescent="0.3">
      <c r="A28" s="370" t="s">
        <v>450</v>
      </c>
      <c r="B28" s="372"/>
      <c r="C28" s="361"/>
      <c r="D28" s="361"/>
      <c r="E28" s="361"/>
      <c r="F28" s="361">
        <v>-45000</v>
      </c>
      <c r="G28" s="361"/>
      <c r="H28" s="361"/>
      <c r="I28" s="361"/>
      <c r="J28" s="361">
        <f>J24</f>
        <v>-13750</v>
      </c>
      <c r="K28" s="361"/>
      <c r="L28" s="361"/>
      <c r="M28" s="361"/>
      <c r="N28" s="361"/>
      <c r="O28" s="361">
        <f t="shared" si="8"/>
        <v>-58750</v>
      </c>
      <c r="S28" s="366" t="s">
        <v>456</v>
      </c>
      <c r="T28" s="363">
        <f>O35</f>
        <v>-24474</v>
      </c>
      <c r="V28" s="363"/>
    </row>
    <row r="29" spans="1:22" ht="14.4" x14ac:dyDescent="0.3">
      <c r="A29" s="376" t="s">
        <v>44</v>
      </c>
      <c r="B29" s="377"/>
      <c r="C29" s="378"/>
      <c r="D29" s="378"/>
      <c r="E29" s="378"/>
      <c r="F29" s="378"/>
      <c r="G29" s="378"/>
      <c r="H29" s="378"/>
      <c r="I29" s="378"/>
      <c r="J29" s="378"/>
      <c r="K29" s="378"/>
      <c r="L29" s="378"/>
      <c r="M29" s="378"/>
      <c r="N29" s="378"/>
      <c r="O29" s="378">
        <f>SUM(O27:O28)</f>
        <v>106250</v>
      </c>
      <c r="S29" s="366" t="s">
        <v>130</v>
      </c>
      <c r="T29" s="363">
        <f>O36</f>
        <v>57106</v>
      </c>
      <c r="V29" s="363"/>
    </row>
    <row r="30" spans="1:22" ht="14.4" x14ac:dyDescent="0.3">
      <c r="A30" s="370" t="s">
        <v>451</v>
      </c>
      <c r="B30" s="372"/>
      <c r="C30" s="361"/>
      <c r="D30" s="361"/>
      <c r="E30" s="361"/>
      <c r="F30" s="361"/>
      <c r="G30" s="361">
        <v>-2000</v>
      </c>
      <c r="H30" s="361"/>
      <c r="I30" s="361"/>
      <c r="J30" s="361"/>
      <c r="K30" s="361"/>
      <c r="L30" s="361"/>
      <c r="M30" s="361"/>
      <c r="N30" s="361"/>
      <c r="O30" s="361">
        <f t="shared" si="8"/>
        <v>-2000</v>
      </c>
    </row>
    <row r="31" spans="1:22" ht="14.4" x14ac:dyDescent="0.3">
      <c r="A31" s="370" t="s">
        <v>452</v>
      </c>
      <c r="B31" s="372"/>
      <c r="C31" s="361"/>
      <c r="D31" s="361"/>
      <c r="E31" s="361">
        <v>-14320</v>
      </c>
      <c r="F31" s="361"/>
      <c r="G31" s="361"/>
      <c r="H31" s="361">
        <v>-1000</v>
      </c>
      <c r="I31" s="361"/>
      <c r="J31" s="361"/>
      <c r="K31" s="361">
        <f>K24</f>
        <v>-3750</v>
      </c>
      <c r="L31" s="361"/>
      <c r="M31" s="361"/>
      <c r="N31" s="361"/>
      <c r="O31" s="361">
        <f t="shared" si="8"/>
        <v>-19070</v>
      </c>
      <c r="S31" s="349" t="s">
        <v>471</v>
      </c>
    </row>
    <row r="32" spans="1:22" ht="14.4" x14ac:dyDescent="0.3">
      <c r="A32" s="376" t="s">
        <v>453</v>
      </c>
      <c r="B32" s="377"/>
      <c r="C32" s="378"/>
      <c r="D32" s="378"/>
      <c r="E32" s="378"/>
      <c r="F32" s="378"/>
      <c r="G32" s="378"/>
      <c r="H32" s="378"/>
      <c r="I32" s="378"/>
      <c r="J32" s="378"/>
      <c r="K32" s="378"/>
      <c r="L32" s="378"/>
      <c r="M32" s="378"/>
      <c r="N32" s="378"/>
      <c r="O32" s="378">
        <f>SUM(O29:O31)</f>
        <v>85180</v>
      </c>
      <c r="S32" s="349" t="s">
        <v>472</v>
      </c>
    </row>
    <row r="33" spans="1:19" ht="14.4" x14ac:dyDescent="0.3">
      <c r="A33" s="370" t="s">
        <v>454</v>
      </c>
      <c r="B33" s="372"/>
      <c r="C33" s="361"/>
      <c r="D33" s="361"/>
      <c r="E33" s="361"/>
      <c r="F33" s="361"/>
      <c r="G33" s="361"/>
      <c r="H33" s="361"/>
      <c r="I33" s="361">
        <f>-C21*3%</f>
        <v>-3600</v>
      </c>
      <c r="J33" s="361"/>
      <c r="K33" s="361"/>
      <c r="L33" s="361"/>
      <c r="M33" s="361"/>
      <c r="N33" s="361"/>
      <c r="O33" s="361">
        <f t="shared" si="8"/>
        <v>-3600</v>
      </c>
      <c r="S33" s="349" t="s">
        <v>470</v>
      </c>
    </row>
    <row r="34" spans="1:19" ht="14.4" x14ac:dyDescent="0.3">
      <c r="A34" s="376" t="s">
        <v>455</v>
      </c>
      <c r="B34" s="377"/>
      <c r="C34" s="378"/>
      <c r="D34" s="378"/>
      <c r="E34" s="378"/>
      <c r="F34" s="378"/>
      <c r="G34" s="378"/>
      <c r="H34" s="378"/>
      <c r="I34" s="378"/>
      <c r="J34" s="378"/>
      <c r="K34" s="378"/>
      <c r="L34" s="378"/>
      <c r="M34" s="378"/>
      <c r="N34" s="378"/>
      <c r="O34" s="378">
        <f>SUM(O32:O33)</f>
        <v>81580</v>
      </c>
    </row>
    <row r="35" spans="1:19" ht="14.4" x14ac:dyDescent="0.3">
      <c r="A35" s="370" t="s">
        <v>456</v>
      </c>
      <c r="B35" s="372"/>
      <c r="C35" s="361"/>
      <c r="D35" s="361"/>
      <c r="E35" s="361"/>
      <c r="F35" s="361"/>
      <c r="G35" s="361"/>
      <c r="H35" s="361"/>
      <c r="I35" s="361"/>
      <c r="J35" s="361"/>
      <c r="K35" s="361"/>
      <c r="L35" s="361">
        <f>L24</f>
        <v>-24474</v>
      </c>
      <c r="M35" s="361"/>
      <c r="N35" s="361"/>
      <c r="O35" s="361">
        <f t="shared" si="8"/>
        <v>-24474</v>
      </c>
    </row>
    <row r="36" spans="1:19" ht="14.4" x14ac:dyDescent="0.3">
      <c r="A36" s="376" t="s">
        <v>130</v>
      </c>
      <c r="B36" s="377"/>
      <c r="C36" s="378"/>
      <c r="D36" s="378"/>
      <c r="E36" s="378"/>
      <c r="F36" s="378"/>
      <c r="G36" s="378"/>
      <c r="H36" s="378"/>
      <c r="I36" s="378"/>
      <c r="J36" s="378"/>
      <c r="K36" s="378"/>
      <c r="L36" s="378"/>
      <c r="M36" s="378"/>
      <c r="N36" s="378"/>
      <c r="O36" s="378">
        <f>SUM(O34:O35)</f>
        <v>57106</v>
      </c>
    </row>
  </sheetData>
  <mergeCells count="2">
    <mergeCell ref="B3:O3"/>
    <mergeCell ref="S18:T18"/>
  </mergeCells>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78"/>
  <sheetViews>
    <sheetView zoomScaleNormal="100" workbookViewId="0"/>
  </sheetViews>
  <sheetFormatPr defaultColWidth="9.109375" defaultRowHeight="14.4" x14ac:dyDescent="0.3"/>
  <cols>
    <col min="1" max="1" width="1.88671875" style="121" customWidth="1"/>
    <col min="2" max="2" width="10.44140625" style="123" customWidth="1"/>
    <col min="3" max="3" width="4.44140625" style="123" customWidth="1"/>
    <col min="4" max="4" width="9.33203125" style="123" customWidth="1"/>
    <col min="5" max="5" width="10.5546875" style="123" customWidth="1"/>
    <col min="6" max="6" width="10.109375" style="123" customWidth="1"/>
    <col min="7" max="7" width="12" style="123" customWidth="1"/>
    <col min="8" max="8" width="3.44140625" style="123" customWidth="1"/>
    <col min="9" max="9" width="11.44140625" style="123" customWidth="1"/>
    <col min="10" max="10" width="11.88671875" style="123" customWidth="1"/>
    <col min="11" max="11" width="10.88671875" style="121" customWidth="1"/>
    <col min="12" max="15" width="9.109375" style="123"/>
    <col min="16" max="16" width="11.5546875" style="123" bestFit="1" customWidth="1"/>
    <col min="17" max="16384" width="9.109375" style="123"/>
  </cols>
  <sheetData>
    <row r="1" spans="1:14" x14ac:dyDescent="0.3">
      <c r="A1" s="122" t="s">
        <v>0</v>
      </c>
      <c r="K1" s="243" t="s">
        <v>219</v>
      </c>
    </row>
    <row r="2" spans="1:14" ht="48" customHeight="1" x14ac:dyDescent="0.3">
      <c r="A2" s="388" t="s">
        <v>225</v>
      </c>
      <c r="B2" s="388"/>
      <c r="C2" s="388"/>
      <c r="D2" s="388"/>
      <c r="E2" s="388"/>
      <c r="F2" s="388"/>
      <c r="G2" s="388"/>
      <c r="H2" s="388"/>
      <c r="I2" s="388"/>
      <c r="J2" s="388"/>
      <c r="K2" s="388"/>
    </row>
    <row r="3" spans="1:14" ht="6" customHeight="1" x14ac:dyDescent="0.3">
      <c r="B3" s="125"/>
    </row>
    <row r="4" spans="1:14" x14ac:dyDescent="0.3">
      <c r="B4" s="389" t="s">
        <v>226</v>
      </c>
      <c r="C4" s="389"/>
      <c r="D4" s="389"/>
      <c r="E4" s="389"/>
      <c r="F4" s="389"/>
      <c r="G4" s="389"/>
      <c r="H4" s="389"/>
      <c r="I4" s="389"/>
      <c r="J4" s="389"/>
      <c r="K4" s="389"/>
    </row>
    <row r="5" spans="1:14" x14ac:dyDescent="0.3">
      <c r="B5" s="126"/>
      <c r="C5" s="127"/>
      <c r="D5" s="127"/>
      <c r="E5" s="128" t="s">
        <v>47</v>
      </c>
      <c r="F5" s="129" t="s">
        <v>48</v>
      </c>
      <c r="G5" s="130"/>
      <c r="H5" s="130"/>
      <c r="I5" s="130"/>
      <c r="J5" s="128" t="s">
        <v>47</v>
      </c>
      <c r="K5" s="131" t="s">
        <v>48</v>
      </c>
    </row>
    <row r="6" spans="1:14" x14ac:dyDescent="0.3">
      <c r="B6" s="132" t="s">
        <v>1</v>
      </c>
      <c r="C6" s="133"/>
      <c r="D6" s="134"/>
      <c r="E6" s="135"/>
      <c r="F6" s="136"/>
      <c r="G6" s="137" t="s">
        <v>2</v>
      </c>
      <c r="H6" s="137"/>
      <c r="I6" s="137"/>
      <c r="J6" s="135"/>
      <c r="K6" s="136"/>
      <c r="M6" s="106" t="s">
        <v>179</v>
      </c>
    </row>
    <row r="7" spans="1:14" ht="20.100000000000001" customHeight="1" x14ac:dyDescent="0.3">
      <c r="B7" s="138" t="s">
        <v>3</v>
      </c>
      <c r="C7" s="139"/>
      <c r="D7" s="140"/>
      <c r="E7" s="141" t="e">
        <f>#REF!*15000</f>
        <v>#REF!</v>
      </c>
      <c r="F7" s="142" t="e">
        <f>P33</f>
        <v>#REF!</v>
      </c>
      <c r="G7" s="139" t="s">
        <v>6</v>
      </c>
      <c r="H7" s="143"/>
      <c r="I7" s="143"/>
      <c r="J7" s="143"/>
      <c r="K7" s="144" t="e">
        <f>J45*0.2</f>
        <v>#REF!</v>
      </c>
    </row>
    <row r="8" spans="1:14" ht="20.100000000000001" customHeight="1" x14ac:dyDescent="0.3">
      <c r="B8" s="138" t="s">
        <v>5</v>
      </c>
      <c r="C8" s="139"/>
      <c r="D8" s="140"/>
      <c r="E8" s="141" t="e">
        <f>#REF!*40000</f>
        <v>#REF!</v>
      </c>
      <c r="F8" s="145" t="e">
        <f>E48</f>
        <v>#REF!</v>
      </c>
      <c r="G8" s="139" t="s">
        <v>73</v>
      </c>
      <c r="H8" s="143"/>
      <c r="I8" s="143"/>
      <c r="J8" s="143"/>
      <c r="K8" s="146" t="e">
        <f>K9*0.1</f>
        <v>#REF!</v>
      </c>
      <c r="M8" s="34">
        <f>3/27</f>
        <v>0.1111111111111111</v>
      </c>
      <c r="N8" s="37" t="s">
        <v>394</v>
      </c>
    </row>
    <row r="9" spans="1:14" ht="20.100000000000001" customHeight="1" x14ac:dyDescent="0.3">
      <c r="B9" s="138" t="s">
        <v>59</v>
      </c>
      <c r="C9" s="139"/>
      <c r="D9" s="140"/>
      <c r="E9" s="141" t="e">
        <f>-E8*0.05</f>
        <v>#REF!</v>
      </c>
      <c r="F9" s="145" t="e">
        <f>-F8*0.05</f>
        <v>#REF!</v>
      </c>
      <c r="G9" s="139" t="s">
        <v>51</v>
      </c>
      <c r="H9" s="143"/>
      <c r="I9" s="143"/>
      <c r="J9" s="141" t="e">
        <f>#REF!*60000</f>
        <v>#REF!</v>
      </c>
      <c r="K9" s="146" t="e">
        <f>J72</f>
        <v>#REF!</v>
      </c>
    </row>
    <row r="10" spans="1:14" ht="20.100000000000001" customHeight="1" x14ac:dyDescent="0.45">
      <c r="B10" s="138" t="s">
        <v>7</v>
      </c>
      <c r="C10" s="139"/>
      <c r="D10" s="140"/>
      <c r="E10" s="147"/>
      <c r="F10" s="148" t="e">
        <f>J56*0.3</f>
        <v>#REF!</v>
      </c>
      <c r="G10" s="139" t="s">
        <v>246</v>
      </c>
      <c r="K10" s="267">
        <v>0</v>
      </c>
    </row>
    <row r="11" spans="1:14" ht="20.100000000000001" customHeight="1" x14ac:dyDescent="0.3">
      <c r="B11" s="149" t="s">
        <v>8</v>
      </c>
      <c r="C11" s="150"/>
      <c r="D11" s="151"/>
      <c r="E11" s="152" t="e">
        <f>SUM(E7:E10)</f>
        <v>#REF!</v>
      </c>
      <c r="F11" s="165" t="e">
        <f>SUM(F7:F10)</f>
        <v>#REF!</v>
      </c>
      <c r="G11" s="139" t="s">
        <v>9</v>
      </c>
      <c r="K11" s="267">
        <v>0</v>
      </c>
    </row>
    <row r="12" spans="1:14" ht="20.100000000000001" customHeight="1" x14ac:dyDescent="0.3">
      <c r="B12" s="156" t="s">
        <v>10</v>
      </c>
      <c r="C12" s="157"/>
      <c r="D12" s="143"/>
      <c r="E12" s="143"/>
      <c r="F12" s="158"/>
      <c r="G12" s="150" t="s">
        <v>11</v>
      </c>
      <c r="H12" s="143"/>
      <c r="I12" s="143"/>
      <c r="J12" s="154" t="e">
        <f>SUM(J7:J11)</f>
        <v>#REF!</v>
      </c>
      <c r="K12" s="155" t="e">
        <f>SUM(K7:K11)</f>
        <v>#REF!</v>
      </c>
    </row>
    <row r="13" spans="1:14" ht="20.100000000000001" customHeight="1" x14ac:dyDescent="0.3">
      <c r="B13" s="162" t="s">
        <v>12</v>
      </c>
      <c r="C13" s="163"/>
      <c r="D13" s="164"/>
      <c r="E13" s="141"/>
      <c r="F13" s="165"/>
      <c r="G13" s="159"/>
      <c r="H13" s="160"/>
      <c r="I13" s="160"/>
      <c r="J13" s="160"/>
      <c r="K13" s="161"/>
    </row>
    <row r="14" spans="1:14" ht="20.100000000000001" customHeight="1" x14ac:dyDescent="0.45">
      <c r="B14" s="138" t="s">
        <v>13</v>
      </c>
      <c r="C14" s="139"/>
      <c r="D14" s="140"/>
      <c r="E14" s="141" t="e">
        <f>#REF!*22000</f>
        <v>#REF!</v>
      </c>
      <c r="F14" s="173" t="e">
        <f>E14+(E56-J56)*0.3</f>
        <v>#REF!</v>
      </c>
      <c r="G14" s="139"/>
      <c r="H14" s="166"/>
      <c r="I14" s="166"/>
      <c r="J14" s="141"/>
      <c r="K14" s="167"/>
    </row>
    <row r="15" spans="1:14" ht="20.100000000000001" customHeight="1" x14ac:dyDescent="0.3">
      <c r="B15" s="138" t="s">
        <v>14</v>
      </c>
      <c r="C15" s="139"/>
      <c r="D15" s="140"/>
      <c r="E15" s="141" t="e">
        <f>#REF!*18000</f>
        <v>#REF!</v>
      </c>
      <c r="F15" s="173" t="e">
        <f>E15</f>
        <v>#REF!</v>
      </c>
      <c r="G15" s="143"/>
      <c r="H15" s="143"/>
      <c r="I15" s="143"/>
      <c r="J15" s="143"/>
      <c r="K15" s="161"/>
    </row>
    <row r="16" spans="1:14" ht="20.100000000000001" customHeight="1" x14ac:dyDescent="0.3">
      <c r="B16" s="162" t="s">
        <v>15</v>
      </c>
      <c r="C16" s="163"/>
      <c r="D16" s="164"/>
      <c r="E16" s="141"/>
      <c r="F16" s="165"/>
      <c r="G16" s="160"/>
      <c r="H16" s="160"/>
      <c r="I16" s="160"/>
      <c r="J16" s="160"/>
      <c r="K16" s="168"/>
    </row>
    <row r="17" spans="1:16" ht="20.100000000000001" customHeight="1" x14ac:dyDescent="0.3">
      <c r="B17" s="169" t="s">
        <v>67</v>
      </c>
      <c r="C17" s="163"/>
      <c r="D17" s="164"/>
      <c r="E17" s="141" t="e">
        <f>#REF!*300000</f>
        <v>#REF!</v>
      </c>
      <c r="F17" s="146" t="e">
        <f>E17</f>
        <v>#REF!</v>
      </c>
      <c r="G17" s="160"/>
      <c r="H17" s="160"/>
      <c r="I17" s="160"/>
      <c r="J17" s="160"/>
      <c r="K17" s="168"/>
    </row>
    <row r="18" spans="1:16" ht="20.100000000000001" customHeight="1" x14ac:dyDescent="0.3">
      <c r="B18" s="138" t="s">
        <v>54</v>
      </c>
      <c r="C18" s="163"/>
      <c r="D18" s="164"/>
      <c r="E18" s="141" t="e">
        <f>-(E17-50000)/50*15</f>
        <v>#REF!</v>
      </c>
      <c r="F18" s="146" t="e">
        <f>E18+I29</f>
        <v>#REF!</v>
      </c>
      <c r="G18" s="166" t="s">
        <v>16</v>
      </c>
      <c r="H18" s="166"/>
      <c r="I18" s="166"/>
      <c r="J18" s="141"/>
      <c r="K18" s="170"/>
    </row>
    <row r="19" spans="1:16" ht="20.100000000000001" customHeight="1" x14ac:dyDescent="0.3">
      <c r="B19" s="138" t="s">
        <v>220</v>
      </c>
      <c r="C19" s="138"/>
      <c r="D19" s="138"/>
      <c r="E19" s="141"/>
      <c r="F19" s="171" t="e">
        <f>J63-(F17+F18)</f>
        <v>#REF!</v>
      </c>
      <c r="G19" s="172" t="s">
        <v>17</v>
      </c>
      <c r="H19" s="172"/>
      <c r="I19" s="172"/>
      <c r="J19" s="141" t="e">
        <f>#REF!*250000</f>
        <v>#REF!</v>
      </c>
      <c r="K19" s="142" t="e">
        <f>J19</f>
        <v>#REF!</v>
      </c>
    </row>
    <row r="20" spans="1:16" ht="20.100000000000001" customHeight="1" x14ac:dyDescent="0.3">
      <c r="B20" s="138" t="s">
        <v>221</v>
      </c>
      <c r="C20" s="139"/>
      <c r="D20" s="140"/>
      <c r="E20" s="141" t="e">
        <f>#REF!*22000</f>
        <v>#REF!</v>
      </c>
      <c r="F20" s="171" t="e">
        <f>E20+B52</f>
        <v>#REF!</v>
      </c>
      <c r="G20" s="172" t="s">
        <v>18</v>
      </c>
      <c r="H20" s="172"/>
      <c r="I20" s="172"/>
      <c r="J20" s="174" t="e">
        <f>E23-J12-J19</f>
        <v>#REF!</v>
      </c>
      <c r="K20" s="175" t="e">
        <f>J20+I39-G72</f>
        <v>#REF!</v>
      </c>
    </row>
    <row r="21" spans="1:16" ht="20.100000000000001" customHeight="1" x14ac:dyDescent="0.3">
      <c r="B21" s="138" t="s">
        <v>54</v>
      </c>
      <c r="C21" s="139"/>
      <c r="D21" s="140"/>
      <c r="E21" s="176" t="e">
        <f>-E20/4</f>
        <v>#REF!</v>
      </c>
      <c r="F21" s="171" t="e">
        <f>E21+I28</f>
        <v>#REF!</v>
      </c>
      <c r="G21" s="177" t="s">
        <v>53</v>
      </c>
      <c r="H21" s="177"/>
      <c r="I21" s="177"/>
      <c r="J21" s="152" t="e">
        <f>SUM(J19:J20)</f>
        <v>#REF!</v>
      </c>
      <c r="K21" s="153" t="e">
        <f>K19+K20</f>
        <v>#REF!</v>
      </c>
    </row>
    <row r="22" spans="1:16" ht="20.100000000000001" customHeight="1" x14ac:dyDescent="0.3">
      <c r="B22" s="149" t="s">
        <v>52</v>
      </c>
      <c r="C22" s="150"/>
      <c r="D22" s="151"/>
      <c r="E22" s="152" t="e">
        <f>SUM(E14:E21)</f>
        <v>#REF!</v>
      </c>
      <c r="F22" s="153" t="e">
        <f>SUM(F14:F21)</f>
        <v>#REF!</v>
      </c>
      <c r="G22" s="143"/>
      <c r="H22" s="143"/>
      <c r="I22" s="143"/>
      <c r="J22" s="143"/>
      <c r="K22" s="178"/>
    </row>
    <row r="23" spans="1:16" ht="20.100000000000001" customHeight="1" x14ac:dyDescent="0.3">
      <c r="B23" s="244" t="s">
        <v>19</v>
      </c>
      <c r="C23" s="245"/>
      <c r="D23" s="246"/>
      <c r="E23" s="247" t="e">
        <f>SUM(E11:E21)</f>
        <v>#REF!</v>
      </c>
      <c r="F23" s="248" t="e">
        <f>F11+F22</f>
        <v>#REF!</v>
      </c>
      <c r="G23" s="246" t="s">
        <v>20</v>
      </c>
      <c r="H23" s="246"/>
      <c r="I23" s="246"/>
      <c r="J23" s="247" t="e">
        <f>J12+J21</f>
        <v>#REF!</v>
      </c>
      <c r="K23" s="248" t="e">
        <f>K12+K21</f>
        <v>#REF!</v>
      </c>
    </row>
    <row r="24" spans="1:16" ht="9" customHeight="1" x14ac:dyDescent="0.3">
      <c r="D24" s="121"/>
      <c r="E24" s="121"/>
      <c r="F24" s="179"/>
      <c r="G24" s="121"/>
      <c r="H24" s="121"/>
      <c r="I24" s="121"/>
      <c r="J24" s="180"/>
      <c r="K24" s="180"/>
    </row>
    <row r="25" spans="1:16" ht="17.850000000000001" customHeight="1" x14ac:dyDescent="0.3">
      <c r="E25" s="390" t="s">
        <v>49</v>
      </c>
      <c r="F25" s="390"/>
      <c r="G25" s="390"/>
      <c r="H25" s="390"/>
      <c r="I25" s="390"/>
      <c r="J25" s="182"/>
      <c r="K25" s="187" t="e">
        <f>K23-F23</f>
        <v>#REF!</v>
      </c>
      <c r="M25" s="106" t="s">
        <v>227</v>
      </c>
      <c r="P25" s="249" t="e">
        <f>E7</f>
        <v>#REF!</v>
      </c>
    </row>
    <row r="26" spans="1:16" ht="20.100000000000001" customHeight="1" x14ac:dyDescent="0.3">
      <c r="E26" s="183" t="s">
        <v>21</v>
      </c>
      <c r="F26" s="184"/>
      <c r="G26" s="185"/>
      <c r="H26" s="186"/>
      <c r="I26" s="251" t="e">
        <f>J45*0.8+E48</f>
        <v>#REF!</v>
      </c>
      <c r="J26" s="187"/>
      <c r="K26" s="188"/>
      <c r="M26" s="37" t="s">
        <v>231</v>
      </c>
      <c r="N26" s="37"/>
      <c r="O26" s="37"/>
      <c r="P26" s="250" t="e">
        <f>D42</f>
        <v>#REF!</v>
      </c>
    </row>
    <row r="27" spans="1:16" ht="20.100000000000001" customHeight="1" x14ac:dyDescent="0.3">
      <c r="E27" s="189" t="s">
        <v>60</v>
      </c>
      <c r="F27" s="190"/>
      <c r="G27" s="181"/>
      <c r="H27" s="143"/>
      <c r="I27" s="191" t="e">
        <f>-I26*0.6</f>
        <v>#REF!</v>
      </c>
      <c r="K27" s="188"/>
      <c r="M27" s="37" t="s">
        <v>230</v>
      </c>
      <c r="N27" s="37"/>
      <c r="O27" s="37"/>
      <c r="P27" s="250" t="e">
        <f>J45</f>
        <v>#REF!</v>
      </c>
    </row>
    <row r="28" spans="1:16" ht="20.100000000000001" customHeight="1" x14ac:dyDescent="0.3">
      <c r="A28" s="193"/>
      <c r="E28" s="189" t="s">
        <v>22</v>
      </c>
      <c r="F28" s="194"/>
      <c r="G28" s="195"/>
      <c r="H28" s="143"/>
      <c r="I28" s="251" t="e">
        <f>-F20*0.15</f>
        <v>#REF!</v>
      </c>
      <c r="K28" s="196"/>
      <c r="M28" s="37" t="s">
        <v>234</v>
      </c>
      <c r="N28" s="37"/>
      <c r="O28" s="37"/>
      <c r="P28" s="232" t="e">
        <f>I27</f>
        <v>#REF!</v>
      </c>
    </row>
    <row r="29" spans="1:16" ht="20.100000000000001" customHeight="1" x14ac:dyDescent="0.3">
      <c r="A29" s="193"/>
      <c r="E29" s="189" t="s">
        <v>23</v>
      </c>
      <c r="F29" s="194"/>
      <c r="G29" s="195"/>
      <c r="H29" s="143"/>
      <c r="I29" s="253" t="e">
        <f>-E17/50</f>
        <v>#REF!</v>
      </c>
      <c r="J29" s="197"/>
      <c r="K29" s="198"/>
      <c r="M29" s="37" t="s">
        <v>235</v>
      </c>
      <c r="N29" s="37"/>
      <c r="O29" s="37"/>
      <c r="P29" s="232" t="e">
        <f>I38</f>
        <v>#REF!</v>
      </c>
    </row>
    <row r="30" spans="1:16" ht="20.100000000000001" customHeight="1" x14ac:dyDescent="0.3">
      <c r="A30" s="193"/>
      <c r="E30" s="189" t="s">
        <v>24</v>
      </c>
      <c r="F30" s="194"/>
      <c r="G30" s="195"/>
      <c r="H30" s="143"/>
      <c r="I30" s="251" t="e">
        <f>F9+D42-(E8+E9)</f>
        <v>#REF!</v>
      </c>
      <c r="J30" s="1"/>
      <c r="K30" s="200"/>
      <c r="M30" s="37" t="s">
        <v>243</v>
      </c>
      <c r="N30" s="37"/>
      <c r="O30" s="37"/>
      <c r="P30" s="232" t="e">
        <f>-F51</f>
        <v>#REF!</v>
      </c>
    </row>
    <row r="31" spans="1:16" ht="20.100000000000001" customHeight="1" x14ac:dyDescent="0.3">
      <c r="A31" s="193"/>
      <c r="E31" s="189" t="s">
        <v>222</v>
      </c>
      <c r="F31" s="194"/>
      <c r="G31" s="195"/>
      <c r="H31" s="143"/>
      <c r="I31" s="251" t="e">
        <f>F19</f>
        <v>#REF!</v>
      </c>
      <c r="J31" s="201"/>
      <c r="K31" s="200"/>
      <c r="M31" s="37" t="s">
        <v>244</v>
      </c>
      <c r="N31" s="37"/>
      <c r="O31" s="37"/>
      <c r="P31" s="232" t="e">
        <f>-B52</f>
        <v>#REF!</v>
      </c>
    </row>
    <row r="32" spans="1:16" ht="20.100000000000001" customHeight="1" x14ac:dyDescent="0.3">
      <c r="A32" s="193"/>
      <c r="E32" s="189" t="s">
        <v>25</v>
      </c>
      <c r="F32" s="194"/>
      <c r="G32" s="195"/>
      <c r="H32" s="143"/>
      <c r="I32" s="146">
        <v>0</v>
      </c>
      <c r="J32" s="201"/>
      <c r="K32" s="200"/>
      <c r="M32" s="37" t="s">
        <v>242</v>
      </c>
      <c r="N32" s="37"/>
      <c r="O32" s="37"/>
      <c r="P32" s="232" t="e">
        <f>-G72</f>
        <v>#REF!</v>
      </c>
    </row>
    <row r="33" spans="1:16" ht="20.100000000000001" customHeight="1" x14ac:dyDescent="0.3">
      <c r="A33" s="193"/>
      <c r="E33" s="189" t="s">
        <v>26</v>
      </c>
      <c r="F33" s="202"/>
      <c r="G33" s="181"/>
      <c r="H33" s="143"/>
      <c r="I33" s="252" t="e">
        <f>-F51</f>
        <v>#REF!</v>
      </c>
      <c r="J33" s="37"/>
      <c r="K33" s="200"/>
      <c r="M33" s="106" t="s">
        <v>245</v>
      </c>
      <c r="N33" s="37"/>
      <c r="O33" s="37"/>
      <c r="P33" s="255" t="e">
        <f>SUM(P25:P32)</f>
        <v>#REF!</v>
      </c>
    </row>
    <row r="34" spans="1:16" ht="20.100000000000001" customHeight="1" x14ac:dyDescent="0.45">
      <c r="E34" s="189" t="s">
        <v>27</v>
      </c>
      <c r="F34" s="202"/>
      <c r="G34" s="181"/>
      <c r="H34" s="143"/>
      <c r="I34" s="252">
        <v>0</v>
      </c>
      <c r="J34" s="199"/>
      <c r="K34" s="203"/>
      <c r="M34" s="37"/>
      <c r="N34" s="37"/>
      <c r="O34" s="37"/>
      <c r="P34" s="250"/>
    </row>
    <row r="35" spans="1:16" ht="20.100000000000001" customHeight="1" x14ac:dyDescent="0.3">
      <c r="E35" s="189" t="s">
        <v>28</v>
      </c>
      <c r="F35" s="202"/>
      <c r="G35" s="181"/>
      <c r="H35" s="143"/>
      <c r="I35" s="252" t="e">
        <f>E56*0.3</f>
        <v>#REF!</v>
      </c>
      <c r="J35" s="1"/>
      <c r="K35" s="205"/>
      <c r="M35" s="37"/>
      <c r="N35" s="37"/>
      <c r="O35" s="37"/>
      <c r="P35" s="250"/>
    </row>
    <row r="36" spans="1:16" ht="20.100000000000001" customHeight="1" x14ac:dyDescent="0.3">
      <c r="E36" s="189" t="s">
        <v>72</v>
      </c>
      <c r="F36" s="202"/>
      <c r="G36" s="181"/>
      <c r="H36" s="143"/>
      <c r="I36" s="253" t="e">
        <f>J9-K9</f>
        <v>#REF!</v>
      </c>
      <c r="J36" s="1"/>
      <c r="K36" s="205"/>
      <c r="M36" s="37"/>
      <c r="N36" s="37"/>
      <c r="O36" s="37"/>
      <c r="P36" s="250"/>
    </row>
    <row r="37" spans="1:16" ht="20.100000000000001" customHeight="1" x14ac:dyDescent="0.3">
      <c r="E37" s="189" t="s">
        <v>29</v>
      </c>
      <c r="F37" s="202"/>
      <c r="G37" s="181"/>
      <c r="H37" s="143"/>
      <c r="I37" s="253" t="e">
        <f>-K8</f>
        <v>#REF!</v>
      </c>
      <c r="J37" s="1"/>
      <c r="K37" s="205"/>
      <c r="M37" s="37"/>
      <c r="N37" s="37"/>
      <c r="O37" s="37"/>
      <c r="P37" s="250"/>
    </row>
    <row r="38" spans="1:16" ht="20.100000000000001" customHeight="1" x14ac:dyDescent="0.3">
      <c r="E38" s="189" t="s">
        <v>74</v>
      </c>
      <c r="F38" s="202"/>
      <c r="G38" s="181"/>
      <c r="H38" s="143"/>
      <c r="I38" s="206" t="e">
        <f>-#REF!*12000</f>
        <v>#REF!</v>
      </c>
      <c r="J38" s="1"/>
      <c r="K38" s="205"/>
      <c r="M38" s="37"/>
      <c r="N38" s="37"/>
      <c r="O38" s="37"/>
      <c r="P38" s="37"/>
    </row>
    <row r="39" spans="1:16" ht="20.100000000000001" customHeight="1" x14ac:dyDescent="0.3">
      <c r="E39" s="207" t="s">
        <v>30</v>
      </c>
      <c r="F39" s="208"/>
      <c r="G39" s="209"/>
      <c r="H39" s="210"/>
      <c r="I39" s="211" t="e">
        <f>SUM(I26:I38)</f>
        <v>#REF!</v>
      </c>
      <c r="J39" s="37"/>
      <c r="K39" s="204"/>
    </row>
    <row r="40" spans="1:16" x14ac:dyDescent="0.3">
      <c r="A40" s="122" t="s">
        <v>31</v>
      </c>
      <c r="C40" s="125"/>
      <c r="D40" s="125"/>
      <c r="E40" s="125"/>
      <c r="F40" s="212"/>
      <c r="I40" s="213"/>
      <c r="J40" s="214"/>
      <c r="K40" s="215"/>
    </row>
    <row r="41" spans="1:16" ht="6.75" customHeight="1" x14ac:dyDescent="0.3">
      <c r="A41" s="216"/>
      <c r="B41" s="16"/>
      <c r="C41" s="217"/>
      <c r="D41" s="217"/>
      <c r="E41" s="217"/>
      <c r="F41" s="217"/>
      <c r="G41" s="218"/>
      <c r="H41" s="219"/>
      <c r="I41" s="219"/>
      <c r="J41" s="220"/>
      <c r="K41" s="221"/>
    </row>
    <row r="42" spans="1:16" x14ac:dyDescent="0.3">
      <c r="A42" s="216" t="s">
        <v>32</v>
      </c>
      <c r="B42" s="16" t="s">
        <v>55</v>
      </c>
      <c r="C42" s="217"/>
      <c r="D42" s="223" t="e">
        <f>E8*0.93</f>
        <v>#REF!</v>
      </c>
      <c r="E42" s="123" t="s">
        <v>56</v>
      </c>
      <c r="G42" s="223"/>
      <c r="I42" s="217"/>
      <c r="J42" s="217"/>
      <c r="K42" s="224"/>
    </row>
    <row r="43" spans="1:16" x14ac:dyDescent="0.3">
      <c r="A43" s="216"/>
      <c r="B43" s="16" t="s">
        <v>57</v>
      </c>
      <c r="C43" s="217"/>
      <c r="F43" s="222"/>
      <c r="H43" s="217"/>
      <c r="J43" s="217"/>
      <c r="K43" s="224"/>
    </row>
    <row r="44" spans="1:16" ht="5.25" customHeight="1" x14ac:dyDescent="0.3">
      <c r="A44" s="216"/>
      <c r="B44" s="16"/>
      <c r="C44" s="217"/>
      <c r="F44" s="222"/>
      <c r="H44" s="217"/>
      <c r="J44" s="217"/>
      <c r="K44" s="224"/>
    </row>
    <row r="45" spans="1:16" x14ac:dyDescent="0.3">
      <c r="A45" s="216" t="s">
        <v>33</v>
      </c>
      <c r="B45" s="16" t="s">
        <v>229</v>
      </c>
      <c r="C45" s="217"/>
      <c r="J45" s="223" t="e">
        <f>#REF!*200000</f>
        <v>#REF!</v>
      </c>
      <c r="K45" s="123" t="s">
        <v>58</v>
      </c>
    </row>
    <row r="46" spans="1:16" x14ac:dyDescent="0.3">
      <c r="A46" s="216"/>
      <c r="B46" s="16" t="s">
        <v>228</v>
      </c>
      <c r="C46" s="217"/>
      <c r="F46" s="222"/>
      <c r="H46" s="217"/>
      <c r="J46" s="217"/>
      <c r="K46" s="224"/>
    </row>
    <row r="47" spans="1:16" x14ac:dyDescent="0.3">
      <c r="A47" s="216"/>
      <c r="B47" s="16" t="s">
        <v>61</v>
      </c>
      <c r="C47" s="217"/>
      <c r="F47" s="222"/>
      <c r="H47" s="217"/>
      <c r="J47" s="217"/>
      <c r="K47" s="224"/>
    </row>
    <row r="48" spans="1:16" x14ac:dyDescent="0.3">
      <c r="A48" s="216"/>
      <c r="B48" s="16" t="s">
        <v>62</v>
      </c>
      <c r="C48" s="217"/>
      <c r="E48" s="223" t="e">
        <f>#REF!*44000</f>
        <v>#REF!</v>
      </c>
      <c r="F48" s="217" t="s">
        <v>64</v>
      </c>
      <c r="I48" s="222"/>
      <c r="K48" s="217"/>
    </row>
    <row r="49" spans="1:12" x14ac:dyDescent="0.3">
      <c r="A49" s="216"/>
      <c r="B49" s="123" t="s">
        <v>63</v>
      </c>
      <c r="K49" s="123"/>
    </row>
    <row r="50" spans="1:12" ht="6" customHeight="1" x14ac:dyDescent="0.3">
      <c r="A50" s="216"/>
      <c r="I50" s="217"/>
      <c r="J50" s="224"/>
    </row>
    <row r="51" spans="1:12" x14ac:dyDescent="0.3">
      <c r="A51" s="121" t="s">
        <v>35</v>
      </c>
      <c r="B51" s="16" t="s">
        <v>223</v>
      </c>
      <c r="C51" s="217"/>
      <c r="D51" s="225"/>
      <c r="F51" s="225" t="e">
        <f>#REF!*600</f>
        <v>#REF!</v>
      </c>
      <c r="G51" s="217" t="s">
        <v>224</v>
      </c>
      <c r="H51" s="217"/>
      <c r="I51" s="217"/>
      <c r="K51" s="123"/>
    </row>
    <row r="52" spans="1:12" x14ac:dyDescent="0.3">
      <c r="A52" s="216"/>
      <c r="B52" s="227" t="e">
        <f>#REF!*1000</f>
        <v>#REF!</v>
      </c>
      <c r="C52" s="228" t="s">
        <v>66</v>
      </c>
      <c r="D52" s="16"/>
      <c r="F52" s="226"/>
      <c r="G52" s="217"/>
      <c r="H52" s="217"/>
      <c r="I52" s="217"/>
      <c r="K52" s="224"/>
    </row>
    <row r="53" spans="1:12" x14ac:dyDescent="0.3">
      <c r="A53" s="216"/>
      <c r="B53" s="16" t="s">
        <v>36</v>
      </c>
      <c r="C53" s="217"/>
      <c r="D53" s="217"/>
      <c r="E53" s="225"/>
      <c r="F53" s="217"/>
      <c r="G53" s="217"/>
      <c r="H53" s="217"/>
      <c r="I53" s="16"/>
      <c r="J53" s="229"/>
      <c r="K53" s="225"/>
    </row>
    <row r="54" spans="1:12" ht="4.5" customHeight="1" x14ac:dyDescent="0.3">
      <c r="A54" s="216"/>
      <c r="B54" s="16"/>
      <c r="C54" s="217"/>
      <c r="D54" s="217"/>
      <c r="E54" s="225"/>
      <c r="F54" s="217"/>
      <c r="G54" s="217"/>
      <c r="H54" s="217"/>
      <c r="I54" s="16"/>
      <c r="J54" s="229"/>
      <c r="K54" s="225"/>
    </row>
    <row r="55" spans="1:12" x14ac:dyDescent="0.3">
      <c r="A55" s="216">
        <v>4</v>
      </c>
      <c r="B55" s="16" t="s">
        <v>34</v>
      </c>
      <c r="C55" s="217"/>
      <c r="D55" s="217"/>
      <c r="E55" s="217"/>
      <c r="F55" s="217"/>
      <c r="G55" s="217"/>
      <c r="H55" s="217"/>
      <c r="I55" s="16"/>
      <c r="J55" s="224"/>
      <c r="K55" s="230"/>
    </row>
    <row r="56" spans="1:12" x14ac:dyDescent="0.3">
      <c r="A56" s="216"/>
      <c r="B56" s="16" t="s">
        <v>65</v>
      </c>
      <c r="C56" s="217"/>
      <c r="E56" s="225" t="e">
        <f>#REF!*8000</f>
        <v>#REF!</v>
      </c>
      <c r="F56" s="217" t="s">
        <v>232</v>
      </c>
      <c r="G56" s="217"/>
      <c r="H56" s="217"/>
      <c r="I56" s="217"/>
      <c r="J56" s="225" t="e">
        <f>E56/4</f>
        <v>#REF!</v>
      </c>
      <c r="K56" s="230" t="s">
        <v>40</v>
      </c>
    </row>
    <row r="57" spans="1:12" x14ac:dyDescent="0.3">
      <c r="A57" s="216"/>
      <c r="B57" s="16" t="s">
        <v>248</v>
      </c>
      <c r="C57" s="217"/>
      <c r="D57" s="224"/>
      <c r="E57" s="217"/>
      <c r="F57" s="217"/>
      <c r="G57" s="217"/>
      <c r="H57" s="217"/>
      <c r="I57" s="16"/>
      <c r="J57" s="225" t="e">
        <f>#REF!*10000</f>
        <v>#REF!</v>
      </c>
      <c r="K57" s="217" t="s">
        <v>233</v>
      </c>
      <c r="L57" s="217"/>
    </row>
    <row r="58" spans="1:12" ht="7.5" customHeight="1" x14ac:dyDescent="0.3">
      <c r="A58" s="216"/>
      <c r="B58" s="16"/>
      <c r="C58" s="217"/>
      <c r="E58" s="231"/>
      <c r="F58" s="217"/>
      <c r="G58" s="217"/>
      <c r="H58" s="217"/>
      <c r="I58" s="16"/>
      <c r="J58" s="224"/>
      <c r="K58" s="230"/>
    </row>
    <row r="59" spans="1:12" x14ac:dyDescent="0.3">
      <c r="A59" s="216" t="s">
        <v>37</v>
      </c>
      <c r="B59" s="16" t="s">
        <v>247</v>
      </c>
      <c r="C59" s="232"/>
      <c r="D59" s="233"/>
      <c r="E59" s="234"/>
      <c r="F59" s="235"/>
      <c r="H59" s="225"/>
      <c r="I59" s="16"/>
      <c r="J59" s="16"/>
      <c r="K59" s="230"/>
    </row>
    <row r="60" spans="1:12" ht="5.25" customHeight="1" x14ac:dyDescent="0.3">
      <c r="A60" s="216"/>
      <c r="B60" s="16"/>
      <c r="C60" s="16"/>
      <c r="F60" s="16"/>
      <c r="G60" s="236"/>
      <c r="H60" s="228"/>
      <c r="I60" s="16"/>
      <c r="J60" s="16"/>
      <c r="K60" s="216"/>
    </row>
    <row r="61" spans="1:12" x14ac:dyDescent="0.3">
      <c r="A61" s="121" t="s">
        <v>38</v>
      </c>
      <c r="B61" s="16" t="s">
        <v>71</v>
      </c>
      <c r="C61" s="217"/>
      <c r="D61" s="217"/>
      <c r="E61" s="217"/>
      <c r="F61" s="217"/>
      <c r="G61" s="217"/>
      <c r="H61" s="217"/>
      <c r="I61" s="16"/>
      <c r="J61" s="237"/>
      <c r="K61" s="230"/>
    </row>
    <row r="62" spans="1:12" x14ac:dyDescent="0.3">
      <c r="B62" s="16" t="s">
        <v>39</v>
      </c>
      <c r="C62" s="217"/>
      <c r="D62" s="217"/>
      <c r="E62" s="217"/>
      <c r="F62" s="217"/>
      <c r="I62" s="225" t="e">
        <f>(E17+E18)*0.95</f>
        <v>#REF!</v>
      </c>
      <c r="J62" s="123" t="s">
        <v>236</v>
      </c>
      <c r="K62" s="123"/>
    </row>
    <row r="63" spans="1:12" x14ac:dyDescent="0.3">
      <c r="B63" s="217" t="s">
        <v>237</v>
      </c>
      <c r="J63" s="225" t="e">
        <f>I62*0.96</f>
        <v>#REF!</v>
      </c>
      <c r="K63" s="123" t="s">
        <v>40</v>
      </c>
      <c r="L63" s="238" t="e">
        <f>I62*0.94</f>
        <v>#REF!</v>
      </c>
    </row>
    <row r="64" spans="1:12" ht="6" customHeight="1" x14ac:dyDescent="0.3">
      <c r="B64" s="217"/>
      <c r="D64" s="225"/>
      <c r="H64" s="217"/>
      <c r="I64" s="16"/>
      <c r="J64" s="237"/>
      <c r="K64" s="230"/>
    </row>
    <row r="65" spans="1:11" x14ac:dyDescent="0.3">
      <c r="A65" s="121">
        <v>7</v>
      </c>
      <c r="B65" s="123" t="s">
        <v>75</v>
      </c>
      <c r="K65" s="123"/>
    </row>
    <row r="66" spans="1:11" x14ac:dyDescent="0.3">
      <c r="B66" s="225">
        <v>32000</v>
      </c>
      <c r="C66" s="123" t="s">
        <v>68</v>
      </c>
      <c r="D66" s="237"/>
      <c r="K66" s="123"/>
    </row>
    <row r="67" spans="1:11" x14ac:dyDescent="0.3">
      <c r="B67" s="123" t="s">
        <v>69</v>
      </c>
      <c r="H67" s="217"/>
      <c r="I67" s="16"/>
      <c r="J67" s="237"/>
      <c r="K67" s="230"/>
    </row>
    <row r="68" spans="1:11" ht="4.5" customHeight="1" x14ac:dyDescent="0.3">
      <c r="H68" s="217"/>
      <c r="I68" s="16"/>
      <c r="J68" s="237"/>
      <c r="K68" s="230"/>
    </row>
    <row r="69" spans="1:11" x14ac:dyDescent="0.3">
      <c r="A69" s="121" t="s">
        <v>70</v>
      </c>
      <c r="B69" s="123" t="s">
        <v>238</v>
      </c>
      <c r="H69" s="217"/>
      <c r="I69" s="16"/>
      <c r="J69" s="237"/>
      <c r="K69" s="230"/>
    </row>
    <row r="70" spans="1:11" x14ac:dyDescent="0.3">
      <c r="B70" s="123" t="s">
        <v>239</v>
      </c>
      <c r="H70" s="217"/>
      <c r="I70" s="16"/>
      <c r="J70" s="237"/>
      <c r="K70" s="230"/>
    </row>
    <row r="71" spans="1:11" ht="4.5" customHeight="1" x14ac:dyDescent="0.3">
      <c r="H71" s="217"/>
      <c r="I71" s="16"/>
      <c r="J71" s="237"/>
      <c r="K71" s="230"/>
    </row>
    <row r="72" spans="1:11" x14ac:dyDescent="0.3">
      <c r="A72" s="121" t="s">
        <v>240</v>
      </c>
      <c r="B72" s="123" t="s">
        <v>241</v>
      </c>
      <c r="G72" s="225" t="e">
        <f>#REF!*5500</f>
        <v>#REF!</v>
      </c>
      <c r="H72" s="217"/>
      <c r="I72" s="192" t="e">
        <f>J9/4</f>
        <v>#REF!</v>
      </c>
      <c r="J72" s="192" t="e">
        <f>I72*4.5</f>
        <v>#REF!</v>
      </c>
      <c r="K72" s="230"/>
    </row>
    <row r="73" spans="1:11" x14ac:dyDescent="0.3">
      <c r="G73" s="225"/>
      <c r="H73" s="217"/>
      <c r="I73" s="192"/>
      <c r="J73" s="192"/>
      <c r="K73" s="230"/>
    </row>
    <row r="74" spans="1:11" x14ac:dyDescent="0.3">
      <c r="A74" s="121" t="s">
        <v>294</v>
      </c>
      <c r="G74" s="225"/>
      <c r="H74" s="217"/>
      <c r="I74" s="192"/>
      <c r="J74" s="192"/>
      <c r="K74" s="230"/>
    </row>
    <row r="75" spans="1:11" x14ac:dyDescent="0.3">
      <c r="A75" s="123" t="s">
        <v>295</v>
      </c>
      <c r="B75" s="226"/>
      <c r="C75" s="217"/>
      <c r="D75" s="217"/>
      <c r="E75" s="217"/>
    </row>
    <row r="76" spans="1:11" x14ac:dyDescent="0.3">
      <c r="G76" s="254"/>
    </row>
    <row r="77" spans="1:11" x14ac:dyDescent="0.3">
      <c r="G77" s="254"/>
    </row>
    <row r="78" spans="1:11" x14ac:dyDescent="0.3">
      <c r="G78" s="254"/>
    </row>
  </sheetData>
  <mergeCells count="3">
    <mergeCell ref="A2:K2"/>
    <mergeCell ref="B4:K4"/>
    <mergeCell ref="E25:I25"/>
  </mergeCells>
  <pageMargins left="0.51181102362204722" right="0.31496062992125984" top="0.78740157480314965" bottom="0.78740157480314965" header="0.31496062992125984" footer="0.31496062992125984"/>
  <pageSetup paperSize="9" scale="99" orientation="portrait" r:id="rId1"/>
  <headerFooter>
    <oddHeader>&amp;CProva Final</oddHeader>
    <oddFooter>&amp;L&amp;F&amp;C&amp;A&amp;R&amp;P/&amp;N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2"/>
  <sheetViews>
    <sheetView zoomScaleNormal="100" workbookViewId="0"/>
  </sheetViews>
  <sheetFormatPr defaultColWidth="9.109375" defaultRowHeight="14.4" x14ac:dyDescent="0.3"/>
  <cols>
    <col min="1" max="1" width="3.33203125" style="121" customWidth="1"/>
    <col min="2" max="2" width="10.44140625" style="123" customWidth="1"/>
    <col min="3" max="3" width="9.33203125" style="123" customWidth="1"/>
    <col min="4" max="4" width="10.5546875" style="123" customWidth="1"/>
    <col min="5" max="5" width="10.109375" style="123" customWidth="1"/>
    <col min="6" max="6" width="12" style="123" customWidth="1"/>
    <col min="7" max="7" width="11.33203125" style="123" customWidth="1"/>
    <col min="8" max="8" width="11.44140625" style="123" customWidth="1"/>
    <col min="9" max="9" width="11.88671875" style="123" customWidth="1"/>
    <col min="10" max="10" width="10.88671875" style="121" customWidth="1"/>
    <col min="11" max="14" width="9.109375" style="123"/>
    <col min="15" max="15" width="11.5546875" style="123" bestFit="1" customWidth="1"/>
    <col min="16" max="16384" width="9.109375" style="123"/>
  </cols>
  <sheetData>
    <row r="1" spans="1:10" x14ac:dyDescent="0.3">
      <c r="A1" s="122" t="s">
        <v>249</v>
      </c>
      <c r="I1" s="243" t="s">
        <v>158</v>
      </c>
      <c r="J1" s="123"/>
    </row>
    <row r="2" spans="1:10" ht="73.5" customHeight="1" x14ac:dyDescent="0.3">
      <c r="A2" s="388" t="s">
        <v>395</v>
      </c>
      <c r="B2" s="388"/>
      <c r="C2" s="388"/>
      <c r="D2" s="388"/>
      <c r="E2" s="388"/>
      <c r="F2" s="388"/>
      <c r="G2" s="388"/>
      <c r="H2" s="388"/>
      <c r="I2" s="388"/>
      <c r="J2" s="268"/>
    </row>
    <row r="3" spans="1:10" ht="6" customHeight="1" x14ac:dyDescent="0.3">
      <c r="B3" s="125"/>
    </row>
    <row r="4" spans="1:10" x14ac:dyDescent="0.3">
      <c r="A4" s="193" t="s">
        <v>32</v>
      </c>
      <c r="B4" s="16" t="s">
        <v>396</v>
      </c>
      <c r="C4" s="223"/>
      <c r="F4" s="223"/>
      <c r="G4" s="223" t="e">
        <f>#REF!*15000*5</f>
        <v>#REF!</v>
      </c>
      <c r="H4" s="217"/>
      <c r="I4" s="217"/>
      <c r="J4" s="224"/>
    </row>
    <row r="5" spans="1:10" ht="5.25" customHeight="1" x14ac:dyDescent="0.3">
      <c r="A5" s="193"/>
      <c r="B5" s="16"/>
      <c r="E5" s="222"/>
      <c r="G5" s="217"/>
      <c r="I5" s="217"/>
      <c r="J5" s="224"/>
    </row>
    <row r="6" spans="1:10" x14ac:dyDescent="0.3">
      <c r="A6" s="193" t="s">
        <v>33</v>
      </c>
      <c r="B6" s="123" t="s">
        <v>397</v>
      </c>
      <c r="E6" s="223">
        <v>20000</v>
      </c>
      <c r="F6" s="123" t="s">
        <v>398</v>
      </c>
      <c r="I6" s="217"/>
      <c r="J6" s="224"/>
    </row>
    <row r="7" spans="1:10" ht="5.25" customHeight="1" x14ac:dyDescent="0.3">
      <c r="A7" s="193"/>
      <c r="B7" s="16"/>
      <c r="E7" s="222"/>
      <c r="G7" s="217"/>
      <c r="I7" s="217"/>
      <c r="J7" s="224"/>
    </row>
    <row r="8" spans="1:10" x14ac:dyDescent="0.3">
      <c r="A8" s="193" t="s">
        <v>35</v>
      </c>
      <c r="B8" s="16" t="s">
        <v>250</v>
      </c>
      <c r="E8" s="223" t="e">
        <f>#REF!*62000</f>
        <v>#REF!</v>
      </c>
      <c r="F8" s="16" t="s">
        <v>258</v>
      </c>
      <c r="G8" s="217"/>
      <c r="I8" s="217"/>
      <c r="J8" s="224"/>
    </row>
    <row r="9" spans="1:10" ht="5.25" customHeight="1" x14ac:dyDescent="0.3">
      <c r="A9" s="193"/>
      <c r="B9" s="16"/>
      <c r="E9" s="222"/>
      <c r="G9" s="217"/>
      <c r="I9" s="217"/>
      <c r="J9" s="224"/>
    </row>
    <row r="10" spans="1:10" x14ac:dyDescent="0.3">
      <c r="A10" s="193" t="s">
        <v>252</v>
      </c>
      <c r="B10" s="16" t="s">
        <v>251</v>
      </c>
      <c r="H10" s="223" t="e">
        <f>#REF!*35000</f>
        <v>#REF!</v>
      </c>
      <c r="I10" s="223" t="s">
        <v>40</v>
      </c>
      <c r="J10" s="123"/>
    </row>
    <row r="11" spans="1:10" x14ac:dyDescent="0.3">
      <c r="A11" s="193"/>
      <c r="B11" s="16" t="s">
        <v>263</v>
      </c>
      <c r="H11" s="223"/>
      <c r="I11" s="223"/>
      <c r="J11" s="123"/>
    </row>
    <row r="12" spans="1:10" x14ac:dyDescent="0.3">
      <c r="A12" s="193"/>
      <c r="B12" s="16" t="s">
        <v>264</v>
      </c>
      <c r="H12" s="223"/>
      <c r="I12" s="223"/>
      <c r="J12" s="123"/>
    </row>
    <row r="13" spans="1:10" ht="5.25" customHeight="1" x14ac:dyDescent="0.3">
      <c r="A13" s="193"/>
      <c r="B13" s="16"/>
      <c r="E13" s="222"/>
      <c r="G13" s="217"/>
      <c r="I13" s="217"/>
      <c r="J13" s="224"/>
    </row>
    <row r="14" spans="1:10" x14ac:dyDescent="0.3">
      <c r="A14" s="193" t="s">
        <v>37</v>
      </c>
      <c r="B14" s="16" t="s">
        <v>253</v>
      </c>
      <c r="E14" s="222"/>
      <c r="G14" s="223" t="e">
        <f>#REF!*13200</f>
        <v>#REF!</v>
      </c>
      <c r="H14" s="217" t="s">
        <v>259</v>
      </c>
      <c r="I14" s="217"/>
      <c r="J14" s="224"/>
    </row>
    <row r="15" spans="1:10" ht="5.25" customHeight="1" x14ac:dyDescent="0.3">
      <c r="A15" s="193"/>
      <c r="B15" s="16"/>
      <c r="E15" s="222"/>
      <c r="G15" s="217"/>
      <c r="I15" s="217"/>
      <c r="J15" s="224"/>
    </row>
    <row r="16" spans="1:10" x14ac:dyDescent="0.3">
      <c r="A16" s="272" t="s">
        <v>38</v>
      </c>
      <c r="B16" s="123" t="s">
        <v>282</v>
      </c>
      <c r="D16" s="223" t="e">
        <f>#REF!*2400</f>
        <v>#REF!</v>
      </c>
      <c r="E16" s="123" t="s">
        <v>301</v>
      </c>
      <c r="J16" s="123"/>
    </row>
    <row r="17" spans="1:10" x14ac:dyDescent="0.3">
      <c r="A17" s="193"/>
      <c r="B17" s="123" t="s">
        <v>399</v>
      </c>
      <c r="E17" s="223"/>
      <c r="J17" s="123"/>
    </row>
    <row r="18" spans="1:10" ht="6" customHeight="1" x14ac:dyDescent="0.3">
      <c r="A18" s="193"/>
      <c r="H18" s="217"/>
      <c r="I18" s="224"/>
    </row>
    <row r="19" spans="1:10" x14ac:dyDescent="0.3">
      <c r="A19" s="272" t="s">
        <v>257</v>
      </c>
      <c r="B19" s="123" t="s">
        <v>256</v>
      </c>
      <c r="C19" s="217"/>
      <c r="D19" s="217"/>
      <c r="E19" s="223" t="e">
        <f>#REF!*3800</f>
        <v>#REF!</v>
      </c>
      <c r="F19" s="123" t="s">
        <v>260</v>
      </c>
    </row>
    <row r="20" spans="1:10" ht="6" customHeight="1" x14ac:dyDescent="0.3">
      <c r="A20" s="193"/>
      <c r="H20" s="217"/>
      <c r="I20" s="224"/>
    </row>
    <row r="21" spans="1:10" x14ac:dyDescent="0.3">
      <c r="A21" s="272" t="s">
        <v>262</v>
      </c>
      <c r="B21" s="123" t="s">
        <v>261</v>
      </c>
      <c r="C21" s="217"/>
      <c r="D21" s="217"/>
      <c r="E21" s="223"/>
      <c r="G21" s="223" t="e">
        <f>#REF!*1200</f>
        <v>#REF!</v>
      </c>
      <c r="H21" s="123" t="s">
        <v>40</v>
      </c>
    </row>
    <row r="22" spans="1:10" ht="6" customHeight="1" x14ac:dyDescent="0.3">
      <c r="A22" s="193"/>
      <c r="H22" s="217"/>
      <c r="I22" s="224"/>
    </row>
    <row r="23" spans="1:10" x14ac:dyDescent="0.3">
      <c r="A23" s="272" t="s">
        <v>240</v>
      </c>
      <c r="B23" s="123" t="s">
        <v>272</v>
      </c>
      <c r="C23" s="223"/>
      <c r="D23" s="217"/>
      <c r="E23" s="223"/>
    </row>
    <row r="24" spans="1:10" x14ac:dyDescent="0.3">
      <c r="A24" s="272"/>
      <c r="B24" s="123" t="s">
        <v>273</v>
      </c>
      <c r="C24" s="223"/>
      <c r="D24" s="217"/>
      <c r="E24" s="223"/>
      <c r="G24" s="223" t="e">
        <f>#REF!*50000</f>
        <v>#REF!</v>
      </c>
      <c r="H24" s="123" t="s">
        <v>274</v>
      </c>
    </row>
    <row r="25" spans="1:10" x14ac:dyDescent="0.3">
      <c r="A25" s="272"/>
      <c r="B25" s="123" t="s">
        <v>275</v>
      </c>
      <c r="C25" s="223"/>
      <c r="D25" s="217"/>
      <c r="E25" s="223"/>
    </row>
    <row r="26" spans="1:10" ht="6" customHeight="1" x14ac:dyDescent="0.3">
      <c r="A26" s="193"/>
      <c r="H26" s="217"/>
      <c r="I26" s="224"/>
    </row>
    <row r="27" spans="1:10" x14ac:dyDescent="0.3">
      <c r="A27" s="272" t="s">
        <v>269</v>
      </c>
      <c r="B27" s="123" t="s">
        <v>265</v>
      </c>
      <c r="C27" s="217"/>
      <c r="D27" s="217"/>
      <c r="E27" s="223"/>
    </row>
    <row r="28" spans="1:10" x14ac:dyDescent="0.3">
      <c r="A28" s="272"/>
      <c r="B28" s="123" t="s">
        <v>266</v>
      </c>
      <c r="C28" s="223" t="e">
        <f>#REF!*6000</f>
        <v>#REF!</v>
      </c>
      <c r="D28" s="217"/>
      <c r="E28" s="223"/>
    </row>
    <row r="29" spans="1:10" ht="6" customHeight="1" x14ac:dyDescent="0.3">
      <c r="A29" s="193"/>
      <c r="H29" s="217"/>
      <c r="I29" s="224"/>
    </row>
    <row r="30" spans="1:10" x14ac:dyDescent="0.3">
      <c r="A30" s="272" t="s">
        <v>271</v>
      </c>
      <c r="B30" s="123" t="s">
        <v>267</v>
      </c>
      <c r="C30" s="223"/>
      <c r="D30" s="217"/>
      <c r="E30" s="223"/>
    </row>
    <row r="31" spans="1:10" x14ac:dyDescent="0.3">
      <c r="A31" s="272"/>
      <c r="B31" s="123" t="s">
        <v>268</v>
      </c>
      <c r="C31" s="223"/>
      <c r="D31" s="217"/>
      <c r="E31" s="223"/>
    </row>
    <row r="32" spans="1:10" x14ac:dyDescent="0.3">
      <c r="A32" s="272"/>
      <c r="B32" s="223" t="e">
        <f>#REF!*1600</f>
        <v>#REF!</v>
      </c>
      <c r="C32" s="223" t="s">
        <v>288</v>
      </c>
      <c r="D32" s="217"/>
      <c r="E32" s="223"/>
    </row>
    <row r="33" spans="1:10" ht="6" customHeight="1" x14ac:dyDescent="0.3">
      <c r="A33" s="193"/>
      <c r="H33" s="217"/>
      <c r="I33" s="224"/>
    </row>
    <row r="34" spans="1:10" x14ac:dyDescent="0.3">
      <c r="A34" s="272" t="s">
        <v>276</v>
      </c>
      <c r="B34" s="223" t="s">
        <v>290</v>
      </c>
      <c r="C34" s="223"/>
      <c r="D34" s="217"/>
      <c r="E34" s="223"/>
    </row>
    <row r="35" spans="1:10" x14ac:dyDescent="0.3">
      <c r="A35" s="272"/>
      <c r="B35" s="223" t="s">
        <v>289</v>
      </c>
      <c r="D35" s="223" t="e">
        <f>#REF!*1800</f>
        <v>#REF!</v>
      </c>
      <c r="E35" s="217" t="s">
        <v>270</v>
      </c>
    </row>
    <row r="36" spans="1:10" ht="6" customHeight="1" x14ac:dyDescent="0.3">
      <c r="A36" s="193"/>
      <c r="H36" s="217"/>
      <c r="I36" s="224"/>
    </row>
    <row r="37" spans="1:10" x14ac:dyDescent="0.3">
      <c r="A37" s="272" t="s">
        <v>296</v>
      </c>
      <c r="B37" s="123" t="s">
        <v>277</v>
      </c>
      <c r="C37" s="223"/>
      <c r="D37" s="217"/>
      <c r="E37" s="223"/>
      <c r="G37" s="223" t="e">
        <f>#REF!*1000</f>
        <v>#REF!</v>
      </c>
      <c r="H37" s="123" t="s">
        <v>302</v>
      </c>
    </row>
    <row r="38" spans="1:10" ht="6" customHeight="1" x14ac:dyDescent="0.3">
      <c r="A38" s="193"/>
      <c r="H38" s="217"/>
      <c r="I38" s="224"/>
    </row>
    <row r="39" spans="1:10" x14ac:dyDescent="0.3">
      <c r="A39" s="272" t="s">
        <v>400</v>
      </c>
      <c r="B39" s="123" t="s">
        <v>297</v>
      </c>
      <c r="C39" s="223"/>
      <c r="D39" s="217"/>
      <c r="E39" s="223"/>
      <c r="F39" s="223" t="e">
        <f>#REF!*2500</f>
        <v>#REF!</v>
      </c>
      <c r="G39" s="123" t="s">
        <v>298</v>
      </c>
    </row>
    <row r="40" spans="1:10" x14ac:dyDescent="0.3">
      <c r="A40" s="272"/>
      <c r="B40" s="123" t="s">
        <v>299</v>
      </c>
      <c r="C40" s="223"/>
      <c r="D40" s="217"/>
      <c r="E40" s="223"/>
      <c r="G40" s="223"/>
    </row>
    <row r="41" spans="1:10" x14ac:dyDescent="0.3">
      <c r="A41" s="272"/>
      <c r="B41" s="122"/>
      <c r="J41" s="124"/>
    </row>
    <row r="42" spans="1:10" ht="6" customHeight="1" x14ac:dyDescent="0.3">
      <c r="A42" s="272"/>
    </row>
    <row r="43" spans="1:10" ht="6" customHeight="1" x14ac:dyDescent="0.3"/>
    <row r="44" spans="1:10" x14ac:dyDescent="0.3">
      <c r="C44" s="391" t="s">
        <v>254</v>
      </c>
      <c r="D44" s="392"/>
      <c r="E44" s="392"/>
      <c r="F44" s="392"/>
      <c r="G44" s="392"/>
      <c r="H44" s="393"/>
      <c r="J44" s="273" t="s">
        <v>179</v>
      </c>
    </row>
    <row r="45" spans="1:10" ht="20.100000000000001" customHeight="1" x14ac:dyDescent="0.3">
      <c r="C45" s="257" t="s">
        <v>303</v>
      </c>
      <c r="D45" s="256"/>
      <c r="E45" s="143"/>
      <c r="F45" s="143"/>
      <c r="G45" s="143"/>
      <c r="H45" s="270" t="e">
        <f>SUM(H46:H52)</f>
        <v>#REF!</v>
      </c>
      <c r="J45" s="274">
        <v>0.4</v>
      </c>
    </row>
    <row r="46" spans="1:10" s="37" customFormat="1" ht="20.100000000000001" customHeight="1" x14ac:dyDescent="0.3">
      <c r="A46" s="1"/>
      <c r="C46" s="258" t="s">
        <v>280</v>
      </c>
      <c r="D46" s="239"/>
      <c r="E46" s="239"/>
      <c r="F46" s="239"/>
      <c r="G46" s="239"/>
      <c r="H46" s="259" t="e">
        <f>H10*60%</f>
        <v>#REF!</v>
      </c>
      <c r="J46" s="1" t="s">
        <v>211</v>
      </c>
    </row>
    <row r="47" spans="1:10" s="37" customFormat="1" ht="20.100000000000001" customHeight="1" x14ac:dyDescent="0.3">
      <c r="A47" s="1"/>
      <c r="C47" s="260" t="s">
        <v>281</v>
      </c>
      <c r="D47" s="240"/>
      <c r="E47" s="240"/>
      <c r="F47" s="240"/>
      <c r="G47" s="240"/>
      <c r="H47" s="261" t="e">
        <f>G14</f>
        <v>#REF!</v>
      </c>
      <c r="J47" s="1" t="s">
        <v>291</v>
      </c>
    </row>
    <row r="48" spans="1:10" s="37" customFormat="1" ht="20.100000000000001" customHeight="1" x14ac:dyDescent="0.3">
      <c r="A48" s="1"/>
      <c r="C48" s="260" t="s">
        <v>283</v>
      </c>
      <c r="D48" s="240"/>
      <c r="E48" s="240"/>
      <c r="F48" s="240"/>
      <c r="G48" s="240"/>
      <c r="H48" s="261" t="e">
        <f>D16</f>
        <v>#REF!</v>
      </c>
      <c r="J48" s="1"/>
    </row>
    <row r="49" spans="1:10" s="37" customFormat="1" ht="20.100000000000001" customHeight="1" x14ac:dyDescent="0.3">
      <c r="A49" s="1"/>
      <c r="C49" s="260" t="s">
        <v>284</v>
      </c>
      <c r="D49" s="240"/>
      <c r="E49" s="240"/>
      <c r="F49" s="240"/>
      <c r="G49" s="240"/>
      <c r="H49" s="261" t="e">
        <f>-G21</f>
        <v>#REF!</v>
      </c>
      <c r="J49" s="1"/>
    </row>
    <row r="50" spans="1:10" s="37" customFormat="1" ht="20.100000000000001" customHeight="1" x14ac:dyDescent="0.3">
      <c r="A50" s="1"/>
      <c r="C50" s="260" t="s">
        <v>286</v>
      </c>
      <c r="D50" s="240"/>
      <c r="E50" s="240"/>
      <c r="F50" s="240"/>
      <c r="G50" s="240"/>
      <c r="H50" s="261" t="e">
        <f>-C28</f>
        <v>#REF!</v>
      </c>
      <c r="J50" s="1"/>
    </row>
    <row r="51" spans="1:10" s="37" customFormat="1" ht="20.100000000000001" customHeight="1" x14ac:dyDescent="0.3">
      <c r="A51" s="1"/>
      <c r="C51" s="260" t="s">
        <v>287</v>
      </c>
      <c r="D51" s="240"/>
      <c r="E51" s="240"/>
      <c r="F51" s="240"/>
      <c r="G51" s="240"/>
      <c r="H51" s="261" t="e">
        <f>-B32</f>
        <v>#REF!</v>
      </c>
      <c r="J51" s="1"/>
    </row>
    <row r="52" spans="1:10" s="37" customFormat="1" ht="20.100000000000001" customHeight="1" x14ac:dyDescent="0.3">
      <c r="A52" s="1"/>
      <c r="C52" s="260"/>
      <c r="D52" s="240"/>
      <c r="E52" s="240"/>
      <c r="F52" s="240"/>
      <c r="G52" s="240"/>
      <c r="H52" s="261"/>
      <c r="J52" s="1"/>
    </row>
    <row r="53" spans="1:10" ht="20.100000000000001" customHeight="1" x14ac:dyDescent="0.3">
      <c r="C53" s="257" t="s">
        <v>304</v>
      </c>
      <c r="D53" s="256"/>
      <c r="E53" s="143"/>
      <c r="F53" s="143"/>
      <c r="G53" s="143"/>
      <c r="H53" s="269" t="e">
        <f>SUM(H54:H56)</f>
        <v>#REF!</v>
      </c>
      <c r="J53" s="274">
        <v>0.3</v>
      </c>
    </row>
    <row r="54" spans="1:10" s="37" customFormat="1" ht="20.100000000000001" customHeight="1" x14ac:dyDescent="0.3">
      <c r="A54" s="1"/>
      <c r="C54" s="258" t="s">
        <v>401</v>
      </c>
      <c r="D54" s="239"/>
      <c r="E54" s="239"/>
      <c r="F54" s="239"/>
      <c r="G54" s="239"/>
      <c r="H54" s="259">
        <f>-E6</f>
        <v>-20000</v>
      </c>
      <c r="J54" s="1" t="s">
        <v>292</v>
      </c>
    </row>
    <row r="55" spans="1:10" s="37" customFormat="1" ht="20.100000000000001" customHeight="1" x14ac:dyDescent="0.3">
      <c r="A55" s="1"/>
      <c r="C55" s="258" t="s">
        <v>279</v>
      </c>
      <c r="D55" s="239"/>
      <c r="E55" s="239"/>
      <c r="F55" s="239"/>
      <c r="G55" s="239"/>
      <c r="H55" s="259" t="e">
        <f>-E8</f>
        <v>#REF!</v>
      </c>
      <c r="J55" s="1" t="s">
        <v>293</v>
      </c>
    </row>
    <row r="56" spans="1:10" s="37" customFormat="1" ht="20.100000000000001" customHeight="1" x14ac:dyDescent="0.3">
      <c r="A56" s="1"/>
      <c r="C56" s="258" t="s">
        <v>300</v>
      </c>
      <c r="D56" s="239"/>
      <c r="E56" s="239"/>
      <c r="F56" s="239"/>
      <c r="G56" s="239"/>
      <c r="H56" s="261" t="e">
        <f>-F39</f>
        <v>#REF!</v>
      </c>
      <c r="J56" s="1"/>
    </row>
    <row r="57" spans="1:10" s="37" customFormat="1" ht="20.100000000000001" customHeight="1" x14ac:dyDescent="0.3">
      <c r="A57" s="1"/>
      <c r="C57" s="258"/>
      <c r="D57" s="239"/>
      <c r="E57" s="239"/>
      <c r="F57" s="239"/>
      <c r="G57" s="239"/>
      <c r="H57" s="266"/>
      <c r="J57" s="1"/>
    </row>
    <row r="58" spans="1:10" ht="20.100000000000001" customHeight="1" x14ac:dyDescent="0.3">
      <c r="C58" s="257" t="s">
        <v>305</v>
      </c>
      <c r="D58" s="256"/>
      <c r="E58" s="143"/>
      <c r="F58" s="143"/>
      <c r="G58" s="143"/>
      <c r="H58" s="269" t="e">
        <f>SUM(H59:H62)</f>
        <v>#REF!</v>
      </c>
      <c r="J58" s="274">
        <v>0.3</v>
      </c>
    </row>
    <row r="59" spans="1:10" s="37" customFormat="1" ht="20.100000000000001" customHeight="1" x14ac:dyDescent="0.3">
      <c r="A59" s="1"/>
      <c r="C59" s="258" t="s">
        <v>278</v>
      </c>
      <c r="D59" s="239"/>
      <c r="E59" s="239"/>
      <c r="F59" s="239"/>
      <c r="G59" s="239"/>
      <c r="H59" s="259" t="e">
        <f>G4</f>
        <v>#REF!</v>
      </c>
      <c r="J59" s="1" t="s">
        <v>292</v>
      </c>
    </row>
    <row r="60" spans="1:10" ht="20.100000000000001" customHeight="1" x14ac:dyDescent="0.3">
      <c r="C60" s="258" t="s">
        <v>285</v>
      </c>
      <c r="D60" s="241"/>
      <c r="E60" s="242"/>
      <c r="F60" s="242"/>
      <c r="G60" s="242"/>
      <c r="H60" s="262" t="e">
        <f>G24</f>
        <v>#REF!</v>
      </c>
      <c r="J60" s="1" t="s">
        <v>293</v>
      </c>
    </row>
    <row r="61" spans="1:10" ht="20.100000000000001" customHeight="1" x14ac:dyDescent="0.3">
      <c r="C61" s="258" t="s">
        <v>242</v>
      </c>
      <c r="D61" s="239"/>
      <c r="E61" s="239"/>
      <c r="F61" s="239"/>
      <c r="G61" s="239"/>
      <c r="H61" s="261" t="e">
        <f>-G37*5</f>
        <v>#REF!</v>
      </c>
    </row>
    <row r="62" spans="1:10" ht="20.100000000000001" customHeight="1" x14ac:dyDescent="0.3">
      <c r="C62" s="258"/>
      <c r="D62" s="239"/>
      <c r="E62" s="239"/>
      <c r="F62" s="239"/>
      <c r="G62" s="239"/>
      <c r="H62" s="261"/>
    </row>
    <row r="63" spans="1:10" ht="20.100000000000001" customHeight="1" x14ac:dyDescent="0.3">
      <c r="C63" s="263" t="s">
        <v>255</v>
      </c>
      <c r="D63" s="264"/>
      <c r="E63" s="210"/>
      <c r="F63" s="210"/>
      <c r="G63" s="210"/>
      <c r="H63" s="265">
        <v>0</v>
      </c>
    </row>
    <row r="64" spans="1:10" ht="20.100000000000001" customHeight="1" x14ac:dyDescent="0.3">
      <c r="C64" s="263" t="s">
        <v>50</v>
      </c>
      <c r="D64" s="264"/>
      <c r="E64" s="210"/>
      <c r="F64" s="210"/>
      <c r="G64" s="210"/>
      <c r="H64" s="271" t="e">
        <f>H58+H53+H45</f>
        <v>#REF!</v>
      </c>
    </row>
    <row r="65" spans="6:6" x14ac:dyDescent="0.3">
      <c r="F65" s="254"/>
    </row>
    <row r="66" spans="6:6" x14ac:dyDescent="0.3">
      <c r="F66" s="254"/>
    </row>
    <row r="67" spans="6:6" x14ac:dyDescent="0.3">
      <c r="F67" s="254"/>
    </row>
    <row r="68" spans="6:6" x14ac:dyDescent="0.3">
      <c r="F68" s="254"/>
    </row>
    <row r="69" spans="6:6" x14ac:dyDescent="0.3">
      <c r="F69" s="254"/>
    </row>
    <row r="70" spans="6:6" x14ac:dyDescent="0.3">
      <c r="F70" s="254"/>
    </row>
    <row r="71" spans="6:6" x14ac:dyDescent="0.3">
      <c r="F71" s="254"/>
    </row>
    <row r="72" spans="6:6" x14ac:dyDescent="0.3">
      <c r="F72" s="254"/>
    </row>
  </sheetData>
  <mergeCells count="2">
    <mergeCell ref="C44:H44"/>
    <mergeCell ref="A2:I2"/>
  </mergeCells>
  <pageMargins left="0.51181102362204722" right="0.31496062992125984" top="0.78740157480314965" bottom="0.78740157480314965" header="0.31496062992125984" footer="0.31496062992125984"/>
  <pageSetup paperSize="9" scale="99" orientation="portrait" r:id="rId1"/>
  <headerFooter>
    <oddHeader>&amp;CProva Final</oddHeader>
    <oddFooter>&amp;L&amp;F&amp;C&amp;A&amp;R&amp;P/&amp;N</oddFooter>
  </headerFooter>
  <rowBreaks count="1" manualBreakCount="1">
    <brk id="40" max="8"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81"/>
  <sheetViews>
    <sheetView topLeftCell="A28" zoomScaleNormal="100" workbookViewId="0">
      <selection activeCell="A28" sqref="A28"/>
    </sheetView>
  </sheetViews>
  <sheetFormatPr defaultRowHeight="14.4" x14ac:dyDescent="0.3"/>
  <cols>
    <col min="1" max="1" width="42.44140625" customWidth="1"/>
    <col min="2" max="2" width="11.44140625" customWidth="1"/>
    <col min="3" max="3" width="40.44140625" bestFit="1" customWidth="1"/>
    <col min="4" max="4" width="10.5546875" customWidth="1"/>
  </cols>
  <sheetData>
    <row r="1" spans="1:6" x14ac:dyDescent="0.3">
      <c r="A1" s="2" t="s">
        <v>324</v>
      </c>
      <c r="C1" s="2"/>
      <c r="D1" s="3" t="s">
        <v>76</v>
      </c>
    </row>
    <row r="2" spans="1:6" ht="93.75" customHeight="1" x14ac:dyDescent="0.3">
      <c r="A2" s="394" t="s">
        <v>203</v>
      </c>
      <c r="B2" s="394"/>
      <c r="C2" s="394"/>
      <c r="D2" s="394"/>
    </row>
    <row r="3" spans="1:6" ht="16.5" customHeight="1" x14ac:dyDescent="0.3">
      <c r="A3" s="4"/>
      <c r="B3" s="4"/>
      <c r="C3" s="4"/>
      <c r="D3" s="5"/>
    </row>
    <row r="4" spans="1:6" ht="28.5" customHeight="1" x14ac:dyDescent="0.3">
      <c r="A4" s="395" t="s">
        <v>77</v>
      </c>
      <c r="B4" s="395"/>
      <c r="C4" s="396" t="s">
        <v>193</v>
      </c>
      <c r="D4" s="397"/>
      <c r="F4" s="106" t="s">
        <v>179</v>
      </c>
    </row>
    <row r="5" spans="1:6" ht="21.9" customHeight="1" x14ac:dyDescent="0.3">
      <c r="A5" s="98" t="str">
        <f>A41</f>
        <v>Contas a Receber</v>
      </c>
      <c r="B5" s="6" t="e">
        <f>B41</f>
        <v>#REF!</v>
      </c>
      <c r="C5" s="7" t="s">
        <v>201</v>
      </c>
      <c r="D5" s="101" t="e">
        <f>#REF!*16000</f>
        <v>#REF!</v>
      </c>
    </row>
    <row r="6" spans="1:6" ht="21.9" customHeight="1" x14ac:dyDescent="0.3">
      <c r="A6" s="98" t="str">
        <f>C42</f>
        <v>Receitas Antecipadas</v>
      </c>
      <c r="B6" s="6" t="e">
        <f>D42</f>
        <v>#REF!</v>
      </c>
      <c r="C6" s="8" t="s">
        <v>200</v>
      </c>
      <c r="D6" s="102" t="e">
        <f>#REF!*125000</f>
        <v>#REF!</v>
      </c>
    </row>
    <row r="7" spans="1:6" ht="21.9" customHeight="1" x14ac:dyDescent="0.3">
      <c r="A7" s="98" t="s">
        <v>214</v>
      </c>
      <c r="B7" s="114" t="e">
        <f>-D24</f>
        <v>#REF!</v>
      </c>
      <c r="C7" s="8" t="s">
        <v>202</v>
      </c>
      <c r="D7" s="103" t="e">
        <f>#REF!*13000</f>
        <v>#REF!</v>
      </c>
    </row>
    <row r="8" spans="1:6" ht="21.9" customHeight="1" x14ac:dyDescent="0.3">
      <c r="A8" s="98" t="str">
        <f>C41</f>
        <v>Salários a Pagar</v>
      </c>
      <c r="B8" s="6" t="e">
        <f>D41</f>
        <v>#REF!</v>
      </c>
      <c r="C8" s="8" t="s">
        <v>208</v>
      </c>
      <c r="D8" s="103" t="e">
        <f>-D5*0.4</f>
        <v>#REF!</v>
      </c>
    </row>
    <row r="9" spans="1:6" ht="21.9" customHeight="1" x14ac:dyDescent="0.3">
      <c r="A9" s="98" t="str">
        <f>C21</f>
        <v>Amortização software contábil no período</v>
      </c>
      <c r="B9" s="110" t="e">
        <f>-D21</f>
        <v>#REF!</v>
      </c>
      <c r="C9" s="8" t="s">
        <v>209</v>
      </c>
      <c r="D9" s="102" t="e">
        <f>-D6*0.5</f>
        <v>#REF!</v>
      </c>
    </row>
    <row r="10" spans="1:6" ht="21.9" customHeight="1" x14ac:dyDescent="0.3">
      <c r="A10" s="98" t="str">
        <f>C40</f>
        <v>Fornecedores</v>
      </c>
      <c r="B10" s="6" t="e">
        <f>D40</f>
        <v>#REF!</v>
      </c>
      <c r="C10" s="8" t="s">
        <v>210</v>
      </c>
      <c r="D10" s="104" t="e">
        <f>-#REF!*1100</f>
        <v>#REF!</v>
      </c>
    </row>
    <row r="11" spans="1:6" ht="21.9" customHeight="1" x14ac:dyDescent="0.3">
      <c r="A11" s="98" t="str">
        <f>A42</f>
        <v>Despesas Antecipadas</v>
      </c>
      <c r="B11" s="6" t="e">
        <f>B42</f>
        <v>#REF!</v>
      </c>
      <c r="C11" s="9" t="s">
        <v>199</v>
      </c>
      <c r="D11" s="103" t="e">
        <f>-#REF!*22000</f>
        <v>#REF!</v>
      </c>
      <c r="F11" s="37" t="s">
        <v>211</v>
      </c>
    </row>
    <row r="12" spans="1:6" ht="21.9" customHeight="1" thickBot="1" x14ac:dyDescent="0.35">
      <c r="A12" s="98" t="str">
        <f>C8</f>
        <v>Custo dos produtos vendidos na lanchonete</v>
      </c>
      <c r="B12" s="105" t="e">
        <f>-D8</f>
        <v>#REF!</v>
      </c>
      <c r="C12" s="9"/>
      <c r="D12" s="100"/>
      <c r="F12" s="37" t="s">
        <v>212</v>
      </c>
    </row>
    <row r="13" spans="1:6" ht="21.9" customHeight="1" thickBot="1" x14ac:dyDescent="0.35">
      <c r="A13" s="98" t="s">
        <v>217</v>
      </c>
      <c r="B13" s="120" t="e">
        <f>-D26</f>
        <v>#REF!</v>
      </c>
      <c r="C13" s="10" t="s">
        <v>44</v>
      </c>
      <c r="D13" s="39" t="e">
        <f>SUM(D5:D12)</f>
        <v>#REF!</v>
      </c>
      <c r="E13" s="117">
        <v>0.2</v>
      </c>
    </row>
    <row r="14" spans="1:6" ht="21.9" customHeight="1" thickBot="1" x14ac:dyDescent="0.5">
      <c r="A14" s="98" t="s">
        <v>202</v>
      </c>
      <c r="B14" s="105" t="e">
        <f>D7</f>
        <v>#REF!</v>
      </c>
      <c r="C14" s="11" t="s">
        <v>45</v>
      </c>
      <c r="D14" s="40" t="e">
        <f>SUM(D15:D17)</f>
        <v>#REF!</v>
      </c>
      <c r="E14" s="117">
        <v>0.2</v>
      </c>
      <c r="F14" s="37" t="s">
        <v>213</v>
      </c>
    </row>
    <row r="15" spans="1:6" ht="21.9" customHeight="1" x14ac:dyDescent="0.3">
      <c r="A15" s="98" t="str">
        <f>A50</f>
        <v>Depreciação Acumulada</v>
      </c>
      <c r="B15" s="6" t="e">
        <f>-B50</f>
        <v>#REF!</v>
      </c>
      <c r="C15" s="44" t="s">
        <v>198</v>
      </c>
      <c r="D15" s="107" t="e">
        <f>-D6*10%</f>
        <v>#REF!</v>
      </c>
    </row>
    <row r="16" spans="1:6" ht="21.9" customHeight="1" x14ac:dyDescent="0.3">
      <c r="A16" s="98" t="str">
        <f>C10</f>
        <v>Limpeza dos aparelhos de ginástica no período</v>
      </c>
      <c r="B16" s="105" t="e">
        <f>-D10</f>
        <v>#REF!</v>
      </c>
      <c r="C16" s="45" t="s">
        <v>215</v>
      </c>
      <c r="D16" s="109" t="e">
        <f>-#REF!*10000</f>
        <v>#REF!</v>
      </c>
    </row>
    <row r="17" spans="1:6" ht="21.9" customHeight="1" thickBot="1" x14ac:dyDescent="0.35">
      <c r="A17" s="98" t="str">
        <f>C47</f>
        <v>Empréstimos Bancários (longo prazo)</v>
      </c>
      <c r="B17" s="6" t="e">
        <f>D47</f>
        <v>#REF!</v>
      </c>
      <c r="C17" s="14"/>
      <c r="D17" s="15"/>
    </row>
    <row r="18" spans="1:6" ht="21.9" customHeight="1" thickBot="1" x14ac:dyDescent="0.5">
      <c r="A18" s="98" t="str">
        <f>C9</f>
        <v>Salário professores da academia no período</v>
      </c>
      <c r="B18" s="105" t="e">
        <f>-D9</f>
        <v>#REF!</v>
      </c>
      <c r="C18" s="11" t="s">
        <v>46</v>
      </c>
      <c r="D18" s="40" t="e">
        <f>SUM(D19:D21)</f>
        <v>#REF!</v>
      </c>
      <c r="E18" s="117">
        <v>0.2</v>
      </c>
      <c r="F18" s="37" t="s">
        <v>213</v>
      </c>
    </row>
    <row r="19" spans="1:6" ht="21.9" customHeight="1" x14ac:dyDescent="0.3">
      <c r="A19" s="99" t="str">
        <f>A52</f>
        <v>Software contábil</v>
      </c>
      <c r="B19" s="6" t="e">
        <f>B52</f>
        <v>#REF!</v>
      </c>
      <c r="C19" s="12" t="s">
        <v>196</v>
      </c>
      <c r="D19" s="111" t="e">
        <f>-#REF!*12500</f>
        <v>#REF!</v>
      </c>
    </row>
    <row r="20" spans="1:6" ht="21.9" customHeight="1" x14ac:dyDescent="0.3">
      <c r="A20" s="98" t="str">
        <f>C20</f>
        <v>Salário do contador no período</v>
      </c>
      <c r="B20" s="110" t="e">
        <f>-D20</f>
        <v>#REF!</v>
      </c>
      <c r="C20" s="13" t="s">
        <v>195</v>
      </c>
      <c r="D20" s="112" t="e">
        <f>-#REF!*900</f>
        <v>#REF!</v>
      </c>
    </row>
    <row r="21" spans="1:6" ht="21.9" customHeight="1" thickBot="1" x14ac:dyDescent="0.35">
      <c r="A21" s="98" t="str">
        <f>A40</f>
        <v>Caixa</v>
      </c>
      <c r="B21" s="6" t="e">
        <f>B40</f>
        <v>#REF!</v>
      </c>
      <c r="C21" s="9" t="s">
        <v>194</v>
      </c>
      <c r="D21" s="113" t="e">
        <f>-B52/6</f>
        <v>#REF!</v>
      </c>
    </row>
    <row r="22" spans="1:6" ht="21.9" customHeight="1" thickBot="1" x14ac:dyDescent="0.5">
      <c r="A22" s="98" t="str">
        <f>C19</f>
        <v>Aluguel do escritório admin. no período</v>
      </c>
      <c r="B22" s="110" t="e">
        <f>-D19</f>
        <v>#REF!</v>
      </c>
      <c r="C22" s="11" t="s">
        <v>96</v>
      </c>
      <c r="D22" s="40" t="e">
        <f>SUM(D23:D24)</f>
        <v>#REF!</v>
      </c>
      <c r="E22" s="117">
        <v>0.2</v>
      </c>
      <c r="F22" s="37" t="s">
        <v>213</v>
      </c>
    </row>
    <row r="23" spans="1:6" ht="21.9" customHeight="1" x14ac:dyDescent="0.3">
      <c r="A23" s="98" t="str">
        <f>A46</f>
        <v>Ações de empresas coligadas</v>
      </c>
      <c r="B23" s="6" t="e">
        <f>B46</f>
        <v>#REF!</v>
      </c>
      <c r="C23" s="8" t="s">
        <v>97</v>
      </c>
      <c r="D23" s="115" t="e">
        <f>#REF!*700</f>
        <v>#REF!</v>
      </c>
    </row>
    <row r="24" spans="1:6" ht="21.9" customHeight="1" thickBot="1" x14ac:dyDescent="0.35">
      <c r="A24" s="98" t="s">
        <v>97</v>
      </c>
      <c r="B24" s="114" t="e">
        <f>D23</f>
        <v>#REF!</v>
      </c>
      <c r="C24" s="8" t="s">
        <v>214</v>
      </c>
      <c r="D24" s="116" t="e">
        <f>-#REF!*800</f>
        <v>#REF!</v>
      </c>
    </row>
    <row r="25" spans="1:6" ht="21.9" customHeight="1" thickBot="1" x14ac:dyDescent="0.35">
      <c r="A25" s="98" t="str">
        <f>C16</f>
        <v>Gastos com Propaganda no período</v>
      </c>
      <c r="B25" s="108" t="e">
        <f>-D16</f>
        <v>#REF!</v>
      </c>
      <c r="C25" s="10" t="s">
        <v>81</v>
      </c>
      <c r="D25" s="39" t="e">
        <f>D13+D14+D18+D22</f>
        <v>#REF!</v>
      </c>
      <c r="E25" s="117">
        <v>0.2</v>
      </c>
    </row>
    <row r="26" spans="1:6" ht="21.9" customHeight="1" x14ac:dyDescent="0.3">
      <c r="A26" s="98" t="str">
        <f>A49</f>
        <v>Imóveis e instalações da academia</v>
      </c>
      <c r="B26" s="6" t="e">
        <f>B49</f>
        <v>#REF!</v>
      </c>
      <c r="C26" s="8" t="s">
        <v>217</v>
      </c>
      <c r="D26" s="118" t="e">
        <f>-#REF!*250</f>
        <v>#REF!</v>
      </c>
    </row>
    <row r="27" spans="1:6" ht="21.9" customHeight="1" thickBot="1" x14ac:dyDescent="0.35">
      <c r="A27" s="98" t="s">
        <v>198</v>
      </c>
      <c r="B27" s="108" t="e">
        <f>-D15</f>
        <v>#REF!</v>
      </c>
      <c r="C27" s="8" t="s">
        <v>218</v>
      </c>
      <c r="D27" s="119" t="e">
        <f>-#REF!*120</f>
        <v>#REF!</v>
      </c>
    </row>
    <row r="28" spans="1:6" ht="21.9" customHeight="1" thickBot="1" x14ac:dyDescent="0.35">
      <c r="A28" s="99" t="str">
        <f>A53</f>
        <v>Amortização Acumulada</v>
      </c>
      <c r="B28" s="6" t="e">
        <f>-B53</f>
        <v>#REF!</v>
      </c>
      <c r="C28" s="10" t="s">
        <v>173</v>
      </c>
      <c r="D28" s="39" t="e">
        <f>SUM(D25:D27)</f>
        <v>#REF!</v>
      </c>
      <c r="E28" s="117">
        <v>0.2</v>
      </c>
    </row>
    <row r="29" spans="1:6" ht="21.9" customHeight="1" x14ac:dyDescent="0.3">
      <c r="A29" s="98" t="str">
        <f>C11</f>
        <v>Depreciação dos aparelhos ginástica no período</v>
      </c>
      <c r="B29" s="105" t="e">
        <f>-D11</f>
        <v>#REF!</v>
      </c>
    </row>
    <row r="30" spans="1:6" ht="21.9" customHeight="1" thickBot="1" x14ac:dyDescent="0.35">
      <c r="A30" s="98" t="str">
        <f>C50</f>
        <v>Lucro Acumulado</v>
      </c>
      <c r="B30" s="6" t="e">
        <f>D50</f>
        <v>#REF!</v>
      </c>
    </row>
    <row r="31" spans="1:6" ht="21.9" customHeight="1" thickBot="1" x14ac:dyDescent="0.35">
      <c r="A31" s="98" t="s">
        <v>218</v>
      </c>
      <c r="B31" s="120" t="e">
        <f>-D27</f>
        <v>#REF!</v>
      </c>
      <c r="C31" s="10" t="s">
        <v>82</v>
      </c>
      <c r="D31" s="39" t="e">
        <f>B39</f>
        <v>#REF!</v>
      </c>
      <c r="E31" s="117">
        <v>0.2</v>
      </c>
    </row>
    <row r="32" spans="1:6" ht="21.9" customHeight="1" thickBot="1" x14ac:dyDescent="0.35">
      <c r="A32" s="98" t="str">
        <f>C5</f>
        <v>Receita de vendas de aulas específicas</v>
      </c>
      <c r="B32" s="105" t="e">
        <f>D5</f>
        <v>#REF!</v>
      </c>
      <c r="C32" s="10" t="s">
        <v>83</v>
      </c>
      <c r="D32" s="39" t="e">
        <f>B48</f>
        <v>#REF!</v>
      </c>
      <c r="E32" s="117">
        <v>0.2</v>
      </c>
    </row>
    <row r="33" spans="1:5" ht="21.9" customHeight="1" thickBot="1" x14ac:dyDescent="0.35">
      <c r="A33" s="98" t="str">
        <f>C49</f>
        <v>Capital Social</v>
      </c>
      <c r="B33" s="6" t="e">
        <f>D49</f>
        <v>#REF!</v>
      </c>
      <c r="C33" s="10" t="s">
        <v>84</v>
      </c>
      <c r="D33" s="39" t="e">
        <f>B51</f>
        <v>#REF!</v>
      </c>
      <c r="E33" s="117">
        <v>0.2</v>
      </c>
    </row>
    <row r="34" spans="1:5" ht="21.9" customHeight="1" thickBot="1" x14ac:dyDescent="0.35">
      <c r="A34" s="98" t="str">
        <f>C6</f>
        <v>Receita de vendas de passes da academia</v>
      </c>
      <c r="B34" s="105" t="e">
        <f>D6</f>
        <v>#REF!</v>
      </c>
      <c r="C34" s="10" t="s">
        <v>85</v>
      </c>
      <c r="D34" s="39" t="e">
        <f>D39</f>
        <v>#REF!</v>
      </c>
      <c r="E34" s="117">
        <v>0.2</v>
      </c>
    </row>
    <row r="36" spans="1:5" x14ac:dyDescent="0.3">
      <c r="A36" s="398" t="s">
        <v>216</v>
      </c>
      <c r="B36" s="398"/>
      <c r="C36" s="398"/>
      <c r="D36" s="398"/>
    </row>
    <row r="37" spans="1:5" s="16" customFormat="1" ht="31.5" customHeight="1" x14ac:dyDescent="0.3">
      <c r="A37" s="399" t="s">
        <v>94</v>
      </c>
      <c r="B37" s="399"/>
      <c r="C37" s="399"/>
      <c r="D37" s="399"/>
    </row>
    <row r="38" spans="1:5" s="16" customFormat="1" x14ac:dyDescent="0.3">
      <c r="A38" s="17"/>
      <c r="B38" s="18" t="s">
        <v>86</v>
      </c>
      <c r="C38" s="19"/>
      <c r="D38" s="18" t="s">
        <v>86</v>
      </c>
    </row>
    <row r="39" spans="1:5" s="16" customFormat="1" x14ac:dyDescent="0.3">
      <c r="A39" s="20" t="s">
        <v>1</v>
      </c>
      <c r="B39" s="21" t="e">
        <f>SUM(B40:B43)</f>
        <v>#REF!</v>
      </c>
      <c r="C39" s="22" t="s">
        <v>87</v>
      </c>
      <c r="D39" s="21" t="e">
        <f>SUM(D40:D45)</f>
        <v>#REF!</v>
      </c>
    </row>
    <row r="40" spans="1:5" s="16" customFormat="1" x14ac:dyDescent="0.3">
      <c r="A40" s="23" t="s">
        <v>41</v>
      </c>
      <c r="B40" s="24" t="e">
        <f>#REF!*7000</f>
        <v>#REF!</v>
      </c>
      <c r="C40" s="23" t="s">
        <v>4</v>
      </c>
      <c r="D40" s="24" t="e">
        <f>#REF!*21000</f>
        <v>#REF!</v>
      </c>
    </row>
    <row r="41" spans="1:5" s="16" customFormat="1" x14ac:dyDescent="0.3">
      <c r="A41" s="23" t="s">
        <v>5</v>
      </c>
      <c r="B41" s="24" t="e">
        <f>#REF!*15000</f>
        <v>#REF!</v>
      </c>
      <c r="C41" s="23" t="s">
        <v>78</v>
      </c>
      <c r="D41" s="24" t="e">
        <f>#REF!*900</f>
        <v>#REF!</v>
      </c>
    </row>
    <row r="42" spans="1:5" s="16" customFormat="1" x14ac:dyDescent="0.3">
      <c r="A42" s="23" t="s">
        <v>88</v>
      </c>
      <c r="B42" s="24" t="e">
        <f>#REF!*1000</f>
        <v>#REF!</v>
      </c>
      <c r="C42" s="23" t="s">
        <v>89</v>
      </c>
      <c r="D42" s="24" t="e">
        <f>#REF!*1200</f>
        <v>#REF!</v>
      </c>
    </row>
    <row r="43" spans="1:5" s="16" customFormat="1" x14ac:dyDescent="0.3">
      <c r="A43" s="23"/>
      <c r="B43" s="24"/>
    </row>
    <row r="44" spans="1:5" s="16" customFormat="1" x14ac:dyDescent="0.3">
      <c r="A44" s="20" t="s">
        <v>10</v>
      </c>
      <c r="B44" s="21"/>
    </row>
    <row r="45" spans="1:5" s="16" customFormat="1" x14ac:dyDescent="0.3">
      <c r="A45" s="25" t="s">
        <v>12</v>
      </c>
      <c r="B45" s="26" t="e">
        <f>SUM(B46:B47)</f>
        <v>#REF!</v>
      </c>
      <c r="C45" s="23"/>
      <c r="D45" s="24"/>
    </row>
    <row r="46" spans="1:5" s="16" customFormat="1" x14ac:dyDescent="0.3">
      <c r="A46" s="23" t="s">
        <v>197</v>
      </c>
      <c r="B46" s="24" t="e">
        <f>#REF!*40000</f>
        <v>#REF!</v>
      </c>
      <c r="C46" s="20" t="s">
        <v>90</v>
      </c>
      <c r="D46" s="21" t="e">
        <f>SUM(D47:D47)</f>
        <v>#REF!</v>
      </c>
    </row>
    <row r="47" spans="1:5" s="16" customFormat="1" x14ac:dyDescent="0.3">
      <c r="A47" s="23"/>
      <c r="B47" s="24"/>
      <c r="C47" s="23" t="s">
        <v>91</v>
      </c>
      <c r="D47" s="24" t="e">
        <f>#REF!*20500</f>
        <v>#REF!</v>
      </c>
    </row>
    <row r="48" spans="1:5" s="16" customFormat="1" ht="16.2" x14ac:dyDescent="0.45">
      <c r="A48" s="25" t="s">
        <v>15</v>
      </c>
      <c r="B48" s="26" t="e">
        <f>SUM(B49:B50)</f>
        <v>#REF!</v>
      </c>
      <c r="C48" s="22" t="s">
        <v>16</v>
      </c>
      <c r="D48" s="27" t="e">
        <f>SUM(D49:D53)</f>
        <v>#REF!</v>
      </c>
    </row>
    <row r="49" spans="1:4" s="16" customFormat="1" x14ac:dyDescent="0.3">
      <c r="A49" s="23" t="s">
        <v>95</v>
      </c>
      <c r="B49" s="24" t="e">
        <f>#REF!*125600</f>
        <v>#REF!</v>
      </c>
      <c r="C49" s="23" t="s">
        <v>17</v>
      </c>
      <c r="D49" s="24" t="e">
        <f>#REF!*97000</f>
        <v>#REF!</v>
      </c>
    </row>
    <row r="50" spans="1:4" s="16" customFormat="1" x14ac:dyDescent="0.3">
      <c r="A50" s="23" t="s">
        <v>79</v>
      </c>
      <c r="B50" s="24" t="e">
        <f>-#REF!*41000</f>
        <v>#REF!</v>
      </c>
      <c r="C50" s="23" t="s">
        <v>42</v>
      </c>
      <c r="D50" s="24" t="e">
        <f>#REF!*11000</f>
        <v>#REF!</v>
      </c>
    </row>
    <row r="51" spans="1:4" s="16" customFormat="1" ht="19.5" customHeight="1" x14ac:dyDescent="0.3">
      <c r="A51" s="25" t="s">
        <v>92</v>
      </c>
      <c r="B51" s="26" t="e">
        <f>SUM(B52:B53)</f>
        <v>#REF!</v>
      </c>
      <c r="C51" s="23"/>
      <c r="D51" s="24"/>
    </row>
    <row r="52" spans="1:4" s="16" customFormat="1" ht="19.5" customHeight="1" x14ac:dyDescent="0.3">
      <c r="A52" s="23" t="s">
        <v>80</v>
      </c>
      <c r="B52" s="24" t="e">
        <f>#REF!*12000</f>
        <v>#REF!</v>
      </c>
      <c r="C52" s="23"/>
      <c r="D52" s="24"/>
    </row>
    <row r="53" spans="1:4" s="16" customFormat="1" ht="19.5" customHeight="1" x14ac:dyDescent="0.3">
      <c r="A53" s="23" t="s">
        <v>93</v>
      </c>
      <c r="B53" s="24" t="e">
        <f>-B52/6*4</f>
        <v>#REF!</v>
      </c>
      <c r="C53" s="23"/>
      <c r="D53" s="24"/>
    </row>
    <row r="54" spans="1:4" s="16" customFormat="1" ht="19.5" customHeight="1" x14ac:dyDescent="0.3">
      <c r="A54" s="28" t="s">
        <v>19</v>
      </c>
      <c r="B54" s="29" t="e">
        <f>B51+B48+B45+B39</f>
        <v>#REF!</v>
      </c>
      <c r="C54" s="28" t="s">
        <v>20</v>
      </c>
      <c r="D54" s="29" t="e">
        <f>D48+D46+D39</f>
        <v>#REF!</v>
      </c>
    </row>
    <row r="55" spans="1:4" s="16" customFormat="1" ht="19.5" customHeight="1" x14ac:dyDescent="0.3">
      <c r="A55" s="30"/>
      <c r="B55" s="30"/>
      <c r="C55" s="30"/>
      <c r="D55" s="31"/>
    </row>
    <row r="56" spans="1:4" s="16" customFormat="1" ht="19.5" customHeight="1" x14ac:dyDescent="0.3">
      <c r="B56" s="41"/>
      <c r="C56" s="32"/>
      <c r="D56" s="33"/>
    </row>
    <row r="57" spans="1:4" s="16" customFormat="1" ht="19.5" customHeight="1" x14ac:dyDescent="0.3">
      <c r="B57" s="42"/>
      <c r="C57" s="32"/>
      <c r="D57" s="33"/>
    </row>
    <row r="58" spans="1:4" s="16" customFormat="1" ht="19.5" customHeight="1" x14ac:dyDescent="0.3">
      <c r="B58" s="41"/>
      <c r="C58" s="19"/>
      <c r="D58" s="34"/>
    </row>
    <row r="59" spans="1:4" s="16" customFormat="1" ht="19.5" customHeight="1" x14ac:dyDescent="0.3">
      <c r="B59" s="43"/>
      <c r="C59" s="19"/>
      <c r="D59" s="35"/>
    </row>
    <row r="60" spans="1:4" s="16" customFormat="1" ht="19.5" customHeight="1" x14ac:dyDescent="0.3">
      <c r="C60" s="19"/>
      <c r="D60" s="35"/>
    </row>
    <row r="61" spans="1:4" s="16" customFormat="1" ht="19.5" customHeight="1" x14ac:dyDescent="0.3">
      <c r="C61" s="19"/>
      <c r="D61" s="35"/>
    </row>
    <row r="62" spans="1:4" s="16" customFormat="1" ht="19.5" customHeight="1" x14ac:dyDescent="0.3">
      <c r="C62" s="30"/>
      <c r="D62" s="30"/>
    </row>
    <row r="63" spans="1:4" s="16" customFormat="1" ht="19.5" customHeight="1" x14ac:dyDescent="0.3">
      <c r="C63" s="30"/>
      <c r="D63" s="30"/>
    </row>
    <row r="64" spans="1:4" s="16" customFormat="1" ht="19.5" customHeight="1" x14ac:dyDescent="0.3">
      <c r="C64" s="36"/>
      <c r="D64" s="36"/>
    </row>
    <row r="65" spans="3:4" s="16" customFormat="1" ht="19.5" customHeight="1" x14ac:dyDescent="0.3">
      <c r="C65" s="37"/>
      <c r="D65" s="38"/>
    </row>
    <row r="66" spans="3:4" s="16" customFormat="1" ht="19.5" customHeight="1" x14ac:dyDescent="0.3">
      <c r="C66" s="30"/>
      <c r="D66" s="2"/>
    </row>
    <row r="67" spans="3:4" s="16" customFormat="1" ht="19.5" customHeight="1" x14ac:dyDescent="0.3">
      <c r="C67" s="30"/>
      <c r="D67" s="2"/>
    </row>
    <row r="68" spans="3:4" s="16" customFormat="1" ht="19.5" customHeight="1" x14ac:dyDescent="0.3">
      <c r="C68" s="30"/>
      <c r="D68" s="2"/>
    </row>
    <row r="69" spans="3:4" s="16" customFormat="1" ht="19.5" customHeight="1" x14ac:dyDescent="0.3">
      <c r="C69" s="30"/>
      <c r="D69" s="30"/>
    </row>
    <row r="70" spans="3:4" s="16" customFormat="1" ht="19.5" customHeight="1" x14ac:dyDescent="0.3">
      <c r="C70" s="30"/>
      <c r="D70" s="30"/>
    </row>
    <row r="71" spans="3:4" s="16" customFormat="1" ht="19.5" customHeight="1" x14ac:dyDescent="0.3">
      <c r="C71" s="30"/>
      <c r="D71" s="30"/>
    </row>
    <row r="72" spans="3:4" s="16" customFormat="1" ht="19.5" customHeight="1" x14ac:dyDescent="0.3">
      <c r="C72" s="30"/>
      <c r="D72" s="30"/>
    </row>
    <row r="73" spans="3:4" s="16" customFormat="1" x14ac:dyDescent="0.3">
      <c r="C73" s="30"/>
      <c r="D73" s="30"/>
    </row>
    <row r="74" spans="3:4" s="16" customFormat="1" x14ac:dyDescent="0.3">
      <c r="C74" s="30"/>
      <c r="D74" s="30"/>
    </row>
    <row r="75" spans="3:4" s="16" customFormat="1" x14ac:dyDescent="0.3">
      <c r="C75" s="30"/>
      <c r="D75" s="30"/>
    </row>
    <row r="76" spans="3:4" s="16" customFormat="1" x14ac:dyDescent="0.3">
      <c r="C76" s="31"/>
      <c r="D76" s="30"/>
    </row>
    <row r="77" spans="3:4" s="16" customFormat="1" x14ac:dyDescent="0.3">
      <c r="C77" s="30"/>
      <c r="D77" s="30"/>
    </row>
    <row r="78" spans="3:4" s="16" customFormat="1" x14ac:dyDescent="0.3">
      <c r="C78" s="30"/>
      <c r="D78" s="30"/>
    </row>
    <row r="79" spans="3:4" s="16" customFormat="1" x14ac:dyDescent="0.3"/>
    <row r="80" spans="3:4" s="16" customFormat="1" x14ac:dyDescent="0.3"/>
    <row r="81" spans="1:4" s="16" customFormat="1" x14ac:dyDescent="0.3">
      <c r="A81"/>
      <c r="B81"/>
      <c r="C81"/>
      <c r="D81"/>
    </row>
  </sheetData>
  <mergeCells count="5">
    <mergeCell ref="A2:D2"/>
    <mergeCell ref="A4:B4"/>
    <mergeCell ref="C4:D4"/>
    <mergeCell ref="A36:D36"/>
    <mergeCell ref="A37:D37"/>
  </mergeCells>
  <pageMargins left="0.511811024" right="0.511811024" top="0.78740157499999996" bottom="0.78740157499999996" header="0.31496062000000002" footer="0.31496062000000002"/>
  <pageSetup paperSize="9" scale="88" orientation="portrait" r:id="rId1"/>
  <headerFooter>
    <oddHeader>&amp;CProva Final</oddHeader>
    <oddFooter>&amp;L&amp;F&amp;C&amp;A&amp;R&amp;P/&amp;N</oddFooter>
  </headerFooter>
  <rowBreaks count="1" manualBreakCount="1">
    <brk id="34"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37"/>
  <sheetViews>
    <sheetView showGridLines="0" zoomScaleNormal="100" workbookViewId="0">
      <selection activeCell="A21" sqref="A21"/>
    </sheetView>
  </sheetViews>
  <sheetFormatPr defaultRowHeight="15.6" x14ac:dyDescent="0.3"/>
  <cols>
    <col min="1" max="1" width="10.44140625" style="71" customWidth="1"/>
    <col min="2" max="3" width="10.5546875" style="71" customWidth="1"/>
    <col min="4" max="4" width="9.5546875" style="71" customWidth="1"/>
    <col min="5" max="5" width="6.44140625" style="71" customWidth="1"/>
    <col min="6" max="7" width="18.33203125" style="71" customWidth="1"/>
    <col min="8" max="8" width="13.6640625" style="71" customWidth="1"/>
    <col min="9" max="9" width="2.5546875" style="71" customWidth="1"/>
    <col min="10" max="11" width="2.33203125" style="71" customWidth="1"/>
    <col min="12" max="12" width="26.109375" style="71" bestFit="1" customWidth="1"/>
    <col min="13" max="15" width="13.44140625" style="71" bestFit="1" customWidth="1"/>
    <col min="16" max="256" width="9.109375" style="71"/>
    <col min="257" max="257" width="25" style="71" customWidth="1"/>
    <col min="258" max="259" width="10" style="71" customWidth="1"/>
    <col min="260" max="260" width="10.88671875" style="71" bestFit="1" customWidth="1"/>
    <col min="261" max="261" width="8" style="71" customWidth="1"/>
    <col min="262" max="262" width="8.44140625" style="71" bestFit="1" customWidth="1"/>
    <col min="263" max="263" width="10" style="71" customWidth="1"/>
    <col min="264" max="264" width="5.33203125" style="71" customWidth="1"/>
    <col min="265" max="266" width="9.6640625" style="71" customWidth="1"/>
    <col min="267" max="267" width="3.88671875" style="71" customWidth="1"/>
    <col min="268" max="268" width="28.33203125" style="71" bestFit="1" customWidth="1"/>
    <col min="269" max="269" width="9.44140625" style="71" bestFit="1" customWidth="1"/>
    <col min="270" max="512" width="9.109375" style="71"/>
    <col min="513" max="513" width="25" style="71" customWidth="1"/>
    <col min="514" max="515" width="10" style="71" customWidth="1"/>
    <col min="516" max="516" width="10.88671875" style="71" bestFit="1" customWidth="1"/>
    <col min="517" max="517" width="8" style="71" customWidth="1"/>
    <col min="518" max="518" width="8.44140625" style="71" bestFit="1" customWidth="1"/>
    <col min="519" max="519" width="10" style="71" customWidth="1"/>
    <col min="520" max="520" width="5.33203125" style="71" customWidth="1"/>
    <col min="521" max="522" width="9.6640625" style="71" customWidth="1"/>
    <col min="523" max="523" width="3.88671875" style="71" customWidth="1"/>
    <col min="524" max="524" width="28.33203125" style="71" bestFit="1" customWidth="1"/>
    <col min="525" max="525" width="9.44140625" style="71" bestFit="1" customWidth="1"/>
    <col min="526" max="768" width="9.109375" style="71"/>
    <col min="769" max="769" width="25" style="71" customWidth="1"/>
    <col min="770" max="771" width="10" style="71" customWidth="1"/>
    <col min="772" max="772" width="10.88671875" style="71" bestFit="1" customWidth="1"/>
    <col min="773" max="773" width="8" style="71" customWidth="1"/>
    <col min="774" max="774" width="8.44140625" style="71" bestFit="1" customWidth="1"/>
    <col min="775" max="775" width="10" style="71" customWidth="1"/>
    <col min="776" max="776" width="5.33203125" style="71" customWidth="1"/>
    <col min="777" max="778" width="9.6640625" style="71" customWidth="1"/>
    <col min="779" max="779" width="3.88671875" style="71" customWidth="1"/>
    <col min="780" max="780" width="28.33203125" style="71" bestFit="1" customWidth="1"/>
    <col min="781" max="781" width="9.44140625" style="71" bestFit="1" customWidth="1"/>
    <col min="782" max="1024" width="9.109375" style="71"/>
    <col min="1025" max="1025" width="25" style="71" customWidth="1"/>
    <col min="1026" max="1027" width="10" style="71" customWidth="1"/>
    <col min="1028" max="1028" width="10.88671875" style="71" bestFit="1" customWidth="1"/>
    <col min="1029" max="1029" width="8" style="71" customWidth="1"/>
    <col min="1030" max="1030" width="8.44140625" style="71" bestFit="1" customWidth="1"/>
    <col min="1031" max="1031" width="10" style="71" customWidth="1"/>
    <col min="1032" max="1032" width="5.33203125" style="71" customWidth="1"/>
    <col min="1033" max="1034" width="9.6640625" style="71" customWidth="1"/>
    <col min="1035" max="1035" width="3.88671875" style="71" customWidth="1"/>
    <col min="1036" max="1036" width="28.33203125" style="71" bestFit="1" customWidth="1"/>
    <col min="1037" max="1037" width="9.44140625" style="71" bestFit="1" customWidth="1"/>
    <col min="1038" max="1280" width="9.109375" style="71"/>
    <col min="1281" max="1281" width="25" style="71" customWidth="1"/>
    <col min="1282" max="1283" width="10" style="71" customWidth="1"/>
    <col min="1284" max="1284" width="10.88671875" style="71" bestFit="1" customWidth="1"/>
    <col min="1285" max="1285" width="8" style="71" customWidth="1"/>
    <col min="1286" max="1286" width="8.44140625" style="71" bestFit="1" customWidth="1"/>
    <col min="1287" max="1287" width="10" style="71" customWidth="1"/>
    <col min="1288" max="1288" width="5.33203125" style="71" customWidth="1"/>
    <col min="1289" max="1290" width="9.6640625" style="71" customWidth="1"/>
    <col min="1291" max="1291" width="3.88671875" style="71" customWidth="1"/>
    <col min="1292" max="1292" width="28.33203125" style="71" bestFit="1" customWidth="1"/>
    <col min="1293" max="1293" width="9.44140625" style="71" bestFit="1" customWidth="1"/>
    <col min="1294" max="1536" width="9.109375" style="71"/>
    <col min="1537" max="1537" width="25" style="71" customWidth="1"/>
    <col min="1538" max="1539" width="10" style="71" customWidth="1"/>
    <col min="1540" max="1540" width="10.88671875" style="71" bestFit="1" customWidth="1"/>
    <col min="1541" max="1541" width="8" style="71" customWidth="1"/>
    <col min="1542" max="1542" width="8.44140625" style="71" bestFit="1" customWidth="1"/>
    <col min="1543" max="1543" width="10" style="71" customWidth="1"/>
    <col min="1544" max="1544" width="5.33203125" style="71" customWidth="1"/>
    <col min="1545" max="1546" width="9.6640625" style="71" customWidth="1"/>
    <col min="1547" max="1547" width="3.88671875" style="71" customWidth="1"/>
    <col min="1548" max="1548" width="28.33203125" style="71" bestFit="1" customWidth="1"/>
    <col min="1549" max="1549" width="9.44140625" style="71" bestFit="1" customWidth="1"/>
    <col min="1550" max="1792" width="9.109375" style="71"/>
    <col min="1793" max="1793" width="25" style="71" customWidth="1"/>
    <col min="1794" max="1795" width="10" style="71" customWidth="1"/>
    <col min="1796" max="1796" width="10.88671875" style="71" bestFit="1" customWidth="1"/>
    <col min="1797" max="1797" width="8" style="71" customWidth="1"/>
    <col min="1798" max="1798" width="8.44140625" style="71" bestFit="1" customWidth="1"/>
    <col min="1799" max="1799" width="10" style="71" customWidth="1"/>
    <col min="1800" max="1800" width="5.33203125" style="71" customWidth="1"/>
    <col min="1801" max="1802" width="9.6640625" style="71" customWidth="1"/>
    <col min="1803" max="1803" width="3.88671875" style="71" customWidth="1"/>
    <col min="1804" max="1804" width="28.33203125" style="71" bestFit="1" customWidth="1"/>
    <col min="1805" max="1805" width="9.44140625" style="71" bestFit="1" customWidth="1"/>
    <col min="1806" max="2048" width="9.109375" style="71"/>
    <col min="2049" max="2049" width="25" style="71" customWidth="1"/>
    <col min="2050" max="2051" width="10" style="71" customWidth="1"/>
    <col min="2052" max="2052" width="10.88671875" style="71" bestFit="1" customWidth="1"/>
    <col min="2053" max="2053" width="8" style="71" customWidth="1"/>
    <col min="2054" max="2054" width="8.44140625" style="71" bestFit="1" customWidth="1"/>
    <col min="2055" max="2055" width="10" style="71" customWidth="1"/>
    <col min="2056" max="2056" width="5.33203125" style="71" customWidth="1"/>
    <col min="2057" max="2058" width="9.6640625" style="71" customWidth="1"/>
    <col min="2059" max="2059" width="3.88671875" style="71" customWidth="1"/>
    <col min="2060" max="2060" width="28.33203125" style="71" bestFit="1" customWidth="1"/>
    <col min="2061" max="2061" width="9.44140625" style="71" bestFit="1" customWidth="1"/>
    <col min="2062" max="2304" width="9.109375" style="71"/>
    <col min="2305" max="2305" width="25" style="71" customWidth="1"/>
    <col min="2306" max="2307" width="10" style="71" customWidth="1"/>
    <col min="2308" max="2308" width="10.88671875" style="71" bestFit="1" customWidth="1"/>
    <col min="2309" max="2309" width="8" style="71" customWidth="1"/>
    <col min="2310" max="2310" width="8.44140625" style="71" bestFit="1" customWidth="1"/>
    <col min="2311" max="2311" width="10" style="71" customWidth="1"/>
    <col min="2312" max="2312" width="5.33203125" style="71" customWidth="1"/>
    <col min="2313" max="2314" width="9.6640625" style="71" customWidth="1"/>
    <col min="2315" max="2315" width="3.88671875" style="71" customWidth="1"/>
    <col min="2316" max="2316" width="28.33203125" style="71" bestFit="1" customWidth="1"/>
    <col min="2317" max="2317" width="9.44140625" style="71" bestFit="1" customWidth="1"/>
    <col min="2318" max="2560" width="9.109375" style="71"/>
    <col min="2561" max="2561" width="25" style="71" customWidth="1"/>
    <col min="2562" max="2563" width="10" style="71" customWidth="1"/>
    <col min="2564" max="2564" width="10.88671875" style="71" bestFit="1" customWidth="1"/>
    <col min="2565" max="2565" width="8" style="71" customWidth="1"/>
    <col min="2566" max="2566" width="8.44140625" style="71" bestFit="1" customWidth="1"/>
    <col min="2567" max="2567" width="10" style="71" customWidth="1"/>
    <col min="2568" max="2568" width="5.33203125" style="71" customWidth="1"/>
    <col min="2569" max="2570" width="9.6640625" style="71" customWidth="1"/>
    <col min="2571" max="2571" width="3.88671875" style="71" customWidth="1"/>
    <col min="2572" max="2572" width="28.33203125" style="71" bestFit="1" customWidth="1"/>
    <col min="2573" max="2573" width="9.44140625" style="71" bestFit="1" customWidth="1"/>
    <col min="2574" max="2816" width="9.109375" style="71"/>
    <col min="2817" max="2817" width="25" style="71" customWidth="1"/>
    <col min="2818" max="2819" width="10" style="71" customWidth="1"/>
    <col min="2820" max="2820" width="10.88671875" style="71" bestFit="1" customWidth="1"/>
    <col min="2821" max="2821" width="8" style="71" customWidth="1"/>
    <col min="2822" max="2822" width="8.44140625" style="71" bestFit="1" customWidth="1"/>
    <col min="2823" max="2823" width="10" style="71" customWidth="1"/>
    <col min="2824" max="2824" width="5.33203125" style="71" customWidth="1"/>
    <col min="2825" max="2826" width="9.6640625" style="71" customWidth="1"/>
    <col min="2827" max="2827" width="3.88671875" style="71" customWidth="1"/>
    <col min="2828" max="2828" width="28.33203125" style="71" bestFit="1" customWidth="1"/>
    <col min="2829" max="2829" width="9.44140625" style="71" bestFit="1" customWidth="1"/>
    <col min="2830" max="3072" width="9.109375" style="71"/>
    <col min="3073" max="3073" width="25" style="71" customWidth="1"/>
    <col min="3074" max="3075" width="10" style="71" customWidth="1"/>
    <col min="3076" max="3076" width="10.88671875" style="71" bestFit="1" customWidth="1"/>
    <col min="3077" max="3077" width="8" style="71" customWidth="1"/>
    <col min="3078" max="3078" width="8.44140625" style="71" bestFit="1" customWidth="1"/>
    <col min="3079" max="3079" width="10" style="71" customWidth="1"/>
    <col min="3080" max="3080" width="5.33203125" style="71" customWidth="1"/>
    <col min="3081" max="3082" width="9.6640625" style="71" customWidth="1"/>
    <col min="3083" max="3083" width="3.88671875" style="71" customWidth="1"/>
    <col min="3084" max="3084" width="28.33203125" style="71" bestFit="1" customWidth="1"/>
    <col min="3085" max="3085" width="9.44140625" style="71" bestFit="1" customWidth="1"/>
    <col min="3086" max="3328" width="9.109375" style="71"/>
    <col min="3329" max="3329" width="25" style="71" customWidth="1"/>
    <col min="3330" max="3331" width="10" style="71" customWidth="1"/>
    <col min="3332" max="3332" width="10.88671875" style="71" bestFit="1" customWidth="1"/>
    <col min="3333" max="3333" width="8" style="71" customWidth="1"/>
    <col min="3334" max="3334" width="8.44140625" style="71" bestFit="1" customWidth="1"/>
    <col min="3335" max="3335" width="10" style="71" customWidth="1"/>
    <col min="3336" max="3336" width="5.33203125" style="71" customWidth="1"/>
    <col min="3337" max="3338" width="9.6640625" style="71" customWidth="1"/>
    <col min="3339" max="3339" width="3.88671875" style="71" customWidth="1"/>
    <col min="3340" max="3340" width="28.33203125" style="71" bestFit="1" customWidth="1"/>
    <col min="3341" max="3341" width="9.44140625" style="71" bestFit="1" customWidth="1"/>
    <col min="3342" max="3584" width="9.109375" style="71"/>
    <col min="3585" max="3585" width="25" style="71" customWidth="1"/>
    <col min="3586" max="3587" width="10" style="71" customWidth="1"/>
    <col min="3588" max="3588" width="10.88671875" style="71" bestFit="1" customWidth="1"/>
    <col min="3589" max="3589" width="8" style="71" customWidth="1"/>
    <col min="3590" max="3590" width="8.44140625" style="71" bestFit="1" customWidth="1"/>
    <col min="3591" max="3591" width="10" style="71" customWidth="1"/>
    <col min="3592" max="3592" width="5.33203125" style="71" customWidth="1"/>
    <col min="3593" max="3594" width="9.6640625" style="71" customWidth="1"/>
    <col min="3595" max="3595" width="3.88671875" style="71" customWidth="1"/>
    <col min="3596" max="3596" width="28.33203125" style="71" bestFit="1" customWidth="1"/>
    <col min="3597" max="3597" width="9.44140625" style="71" bestFit="1" customWidth="1"/>
    <col min="3598" max="3840" width="9.109375" style="71"/>
    <col min="3841" max="3841" width="25" style="71" customWidth="1"/>
    <col min="3842" max="3843" width="10" style="71" customWidth="1"/>
    <col min="3844" max="3844" width="10.88671875" style="71" bestFit="1" customWidth="1"/>
    <col min="3845" max="3845" width="8" style="71" customWidth="1"/>
    <col min="3846" max="3846" width="8.44140625" style="71" bestFit="1" customWidth="1"/>
    <col min="3847" max="3847" width="10" style="71" customWidth="1"/>
    <col min="3848" max="3848" width="5.33203125" style="71" customWidth="1"/>
    <col min="3849" max="3850" width="9.6640625" style="71" customWidth="1"/>
    <col min="3851" max="3851" width="3.88671875" style="71" customWidth="1"/>
    <col min="3852" max="3852" width="28.33203125" style="71" bestFit="1" customWidth="1"/>
    <col min="3853" max="3853" width="9.44140625" style="71" bestFit="1" customWidth="1"/>
    <col min="3854" max="4096" width="9.109375" style="71"/>
    <col min="4097" max="4097" width="25" style="71" customWidth="1"/>
    <col min="4098" max="4099" width="10" style="71" customWidth="1"/>
    <col min="4100" max="4100" width="10.88671875" style="71" bestFit="1" customWidth="1"/>
    <col min="4101" max="4101" width="8" style="71" customWidth="1"/>
    <col min="4102" max="4102" width="8.44140625" style="71" bestFit="1" customWidth="1"/>
    <col min="4103" max="4103" width="10" style="71" customWidth="1"/>
    <col min="4104" max="4104" width="5.33203125" style="71" customWidth="1"/>
    <col min="4105" max="4106" width="9.6640625" style="71" customWidth="1"/>
    <col min="4107" max="4107" width="3.88671875" style="71" customWidth="1"/>
    <col min="4108" max="4108" width="28.33203125" style="71" bestFit="1" customWidth="1"/>
    <col min="4109" max="4109" width="9.44140625" style="71" bestFit="1" customWidth="1"/>
    <col min="4110" max="4352" width="9.109375" style="71"/>
    <col min="4353" max="4353" width="25" style="71" customWidth="1"/>
    <col min="4354" max="4355" width="10" style="71" customWidth="1"/>
    <col min="4356" max="4356" width="10.88671875" style="71" bestFit="1" customWidth="1"/>
    <col min="4357" max="4357" width="8" style="71" customWidth="1"/>
    <col min="4358" max="4358" width="8.44140625" style="71" bestFit="1" customWidth="1"/>
    <col min="4359" max="4359" width="10" style="71" customWidth="1"/>
    <col min="4360" max="4360" width="5.33203125" style="71" customWidth="1"/>
    <col min="4361" max="4362" width="9.6640625" style="71" customWidth="1"/>
    <col min="4363" max="4363" width="3.88671875" style="71" customWidth="1"/>
    <col min="4364" max="4364" width="28.33203125" style="71" bestFit="1" customWidth="1"/>
    <col min="4365" max="4365" width="9.44140625" style="71" bestFit="1" customWidth="1"/>
    <col min="4366" max="4608" width="9.109375" style="71"/>
    <col min="4609" max="4609" width="25" style="71" customWidth="1"/>
    <col min="4610" max="4611" width="10" style="71" customWidth="1"/>
    <col min="4612" max="4612" width="10.88671875" style="71" bestFit="1" customWidth="1"/>
    <col min="4613" max="4613" width="8" style="71" customWidth="1"/>
    <col min="4614" max="4614" width="8.44140625" style="71" bestFit="1" customWidth="1"/>
    <col min="4615" max="4615" width="10" style="71" customWidth="1"/>
    <col min="4616" max="4616" width="5.33203125" style="71" customWidth="1"/>
    <col min="4617" max="4618" width="9.6640625" style="71" customWidth="1"/>
    <col min="4619" max="4619" width="3.88671875" style="71" customWidth="1"/>
    <col min="4620" max="4620" width="28.33203125" style="71" bestFit="1" customWidth="1"/>
    <col min="4621" max="4621" width="9.44140625" style="71" bestFit="1" customWidth="1"/>
    <col min="4622" max="4864" width="9.109375" style="71"/>
    <col min="4865" max="4865" width="25" style="71" customWidth="1"/>
    <col min="4866" max="4867" width="10" style="71" customWidth="1"/>
    <col min="4868" max="4868" width="10.88671875" style="71" bestFit="1" customWidth="1"/>
    <col min="4869" max="4869" width="8" style="71" customWidth="1"/>
    <col min="4870" max="4870" width="8.44140625" style="71" bestFit="1" customWidth="1"/>
    <col min="4871" max="4871" width="10" style="71" customWidth="1"/>
    <col min="4872" max="4872" width="5.33203125" style="71" customWidth="1"/>
    <col min="4873" max="4874" width="9.6640625" style="71" customWidth="1"/>
    <col min="4875" max="4875" width="3.88671875" style="71" customWidth="1"/>
    <col min="4876" max="4876" width="28.33203125" style="71" bestFit="1" customWidth="1"/>
    <col min="4877" max="4877" width="9.44140625" style="71" bestFit="1" customWidth="1"/>
    <col min="4878" max="5120" width="9.109375" style="71"/>
    <col min="5121" max="5121" width="25" style="71" customWidth="1"/>
    <col min="5122" max="5123" width="10" style="71" customWidth="1"/>
    <col min="5124" max="5124" width="10.88671875" style="71" bestFit="1" customWidth="1"/>
    <col min="5125" max="5125" width="8" style="71" customWidth="1"/>
    <col min="5126" max="5126" width="8.44140625" style="71" bestFit="1" customWidth="1"/>
    <col min="5127" max="5127" width="10" style="71" customWidth="1"/>
    <col min="5128" max="5128" width="5.33203125" style="71" customWidth="1"/>
    <col min="5129" max="5130" width="9.6640625" style="71" customWidth="1"/>
    <col min="5131" max="5131" width="3.88671875" style="71" customWidth="1"/>
    <col min="5132" max="5132" width="28.33203125" style="71" bestFit="1" customWidth="1"/>
    <col min="5133" max="5133" width="9.44140625" style="71" bestFit="1" customWidth="1"/>
    <col min="5134" max="5376" width="9.109375" style="71"/>
    <col min="5377" max="5377" width="25" style="71" customWidth="1"/>
    <col min="5378" max="5379" width="10" style="71" customWidth="1"/>
    <col min="5380" max="5380" width="10.88671875" style="71" bestFit="1" customWidth="1"/>
    <col min="5381" max="5381" width="8" style="71" customWidth="1"/>
    <col min="5382" max="5382" width="8.44140625" style="71" bestFit="1" customWidth="1"/>
    <col min="5383" max="5383" width="10" style="71" customWidth="1"/>
    <col min="5384" max="5384" width="5.33203125" style="71" customWidth="1"/>
    <col min="5385" max="5386" width="9.6640625" style="71" customWidth="1"/>
    <col min="5387" max="5387" width="3.88671875" style="71" customWidth="1"/>
    <col min="5388" max="5388" width="28.33203125" style="71" bestFit="1" customWidth="1"/>
    <col min="5389" max="5389" width="9.44140625" style="71" bestFit="1" customWidth="1"/>
    <col min="5390" max="5632" width="9.109375" style="71"/>
    <col min="5633" max="5633" width="25" style="71" customWidth="1"/>
    <col min="5634" max="5635" width="10" style="71" customWidth="1"/>
    <col min="5636" max="5636" width="10.88671875" style="71" bestFit="1" customWidth="1"/>
    <col min="5637" max="5637" width="8" style="71" customWidth="1"/>
    <col min="5638" max="5638" width="8.44140625" style="71" bestFit="1" customWidth="1"/>
    <col min="5639" max="5639" width="10" style="71" customWidth="1"/>
    <col min="5640" max="5640" width="5.33203125" style="71" customWidth="1"/>
    <col min="5641" max="5642" width="9.6640625" style="71" customWidth="1"/>
    <col min="5643" max="5643" width="3.88671875" style="71" customWidth="1"/>
    <col min="5644" max="5644" width="28.33203125" style="71" bestFit="1" customWidth="1"/>
    <col min="5645" max="5645" width="9.44140625" style="71" bestFit="1" customWidth="1"/>
    <col min="5646" max="5888" width="9.109375" style="71"/>
    <col min="5889" max="5889" width="25" style="71" customWidth="1"/>
    <col min="5890" max="5891" width="10" style="71" customWidth="1"/>
    <col min="5892" max="5892" width="10.88671875" style="71" bestFit="1" customWidth="1"/>
    <col min="5893" max="5893" width="8" style="71" customWidth="1"/>
    <col min="5894" max="5894" width="8.44140625" style="71" bestFit="1" customWidth="1"/>
    <col min="5895" max="5895" width="10" style="71" customWidth="1"/>
    <col min="5896" max="5896" width="5.33203125" style="71" customWidth="1"/>
    <col min="5897" max="5898" width="9.6640625" style="71" customWidth="1"/>
    <col min="5899" max="5899" width="3.88671875" style="71" customWidth="1"/>
    <col min="5900" max="5900" width="28.33203125" style="71" bestFit="1" customWidth="1"/>
    <col min="5901" max="5901" width="9.44140625" style="71" bestFit="1" customWidth="1"/>
    <col min="5902" max="6144" width="9.109375" style="71"/>
    <col min="6145" max="6145" width="25" style="71" customWidth="1"/>
    <col min="6146" max="6147" width="10" style="71" customWidth="1"/>
    <col min="6148" max="6148" width="10.88671875" style="71" bestFit="1" customWidth="1"/>
    <col min="6149" max="6149" width="8" style="71" customWidth="1"/>
    <col min="6150" max="6150" width="8.44140625" style="71" bestFit="1" customWidth="1"/>
    <col min="6151" max="6151" width="10" style="71" customWidth="1"/>
    <col min="6152" max="6152" width="5.33203125" style="71" customWidth="1"/>
    <col min="6153" max="6154" width="9.6640625" style="71" customWidth="1"/>
    <col min="6155" max="6155" width="3.88671875" style="71" customWidth="1"/>
    <col min="6156" max="6156" width="28.33203125" style="71" bestFit="1" customWidth="1"/>
    <col min="6157" max="6157" width="9.44140625" style="71" bestFit="1" customWidth="1"/>
    <col min="6158" max="6400" width="9.109375" style="71"/>
    <col min="6401" max="6401" width="25" style="71" customWidth="1"/>
    <col min="6402" max="6403" width="10" style="71" customWidth="1"/>
    <col min="6404" max="6404" width="10.88671875" style="71" bestFit="1" customWidth="1"/>
    <col min="6405" max="6405" width="8" style="71" customWidth="1"/>
    <col min="6406" max="6406" width="8.44140625" style="71" bestFit="1" customWidth="1"/>
    <col min="6407" max="6407" width="10" style="71" customWidth="1"/>
    <col min="6408" max="6408" width="5.33203125" style="71" customWidth="1"/>
    <col min="6409" max="6410" width="9.6640625" style="71" customWidth="1"/>
    <col min="6411" max="6411" width="3.88671875" style="71" customWidth="1"/>
    <col min="6412" max="6412" width="28.33203125" style="71" bestFit="1" customWidth="1"/>
    <col min="6413" max="6413" width="9.44140625" style="71" bestFit="1" customWidth="1"/>
    <col min="6414" max="6656" width="9.109375" style="71"/>
    <col min="6657" max="6657" width="25" style="71" customWidth="1"/>
    <col min="6658" max="6659" width="10" style="71" customWidth="1"/>
    <col min="6660" max="6660" width="10.88671875" style="71" bestFit="1" customWidth="1"/>
    <col min="6661" max="6661" width="8" style="71" customWidth="1"/>
    <col min="6662" max="6662" width="8.44140625" style="71" bestFit="1" customWidth="1"/>
    <col min="6663" max="6663" width="10" style="71" customWidth="1"/>
    <col min="6664" max="6664" width="5.33203125" style="71" customWidth="1"/>
    <col min="6665" max="6666" width="9.6640625" style="71" customWidth="1"/>
    <col min="6667" max="6667" width="3.88671875" style="71" customWidth="1"/>
    <col min="6668" max="6668" width="28.33203125" style="71" bestFit="1" customWidth="1"/>
    <col min="6669" max="6669" width="9.44140625" style="71" bestFit="1" customWidth="1"/>
    <col min="6670" max="6912" width="9.109375" style="71"/>
    <col min="6913" max="6913" width="25" style="71" customWidth="1"/>
    <col min="6914" max="6915" width="10" style="71" customWidth="1"/>
    <col min="6916" max="6916" width="10.88671875" style="71" bestFit="1" customWidth="1"/>
    <col min="6917" max="6917" width="8" style="71" customWidth="1"/>
    <col min="6918" max="6918" width="8.44140625" style="71" bestFit="1" customWidth="1"/>
    <col min="6919" max="6919" width="10" style="71" customWidth="1"/>
    <col min="6920" max="6920" width="5.33203125" style="71" customWidth="1"/>
    <col min="6921" max="6922" width="9.6640625" style="71" customWidth="1"/>
    <col min="6923" max="6923" width="3.88671875" style="71" customWidth="1"/>
    <col min="6924" max="6924" width="28.33203125" style="71" bestFit="1" customWidth="1"/>
    <col min="6925" max="6925" width="9.44140625" style="71" bestFit="1" customWidth="1"/>
    <col min="6926" max="7168" width="9.109375" style="71"/>
    <col min="7169" max="7169" width="25" style="71" customWidth="1"/>
    <col min="7170" max="7171" width="10" style="71" customWidth="1"/>
    <col min="7172" max="7172" width="10.88671875" style="71" bestFit="1" customWidth="1"/>
    <col min="7173" max="7173" width="8" style="71" customWidth="1"/>
    <col min="7174" max="7174" width="8.44140625" style="71" bestFit="1" customWidth="1"/>
    <col min="7175" max="7175" width="10" style="71" customWidth="1"/>
    <col min="7176" max="7176" width="5.33203125" style="71" customWidth="1"/>
    <col min="7177" max="7178" width="9.6640625" style="71" customWidth="1"/>
    <col min="7179" max="7179" width="3.88671875" style="71" customWidth="1"/>
    <col min="7180" max="7180" width="28.33203125" style="71" bestFit="1" customWidth="1"/>
    <col min="7181" max="7181" width="9.44140625" style="71" bestFit="1" customWidth="1"/>
    <col min="7182" max="7424" width="9.109375" style="71"/>
    <col min="7425" max="7425" width="25" style="71" customWidth="1"/>
    <col min="7426" max="7427" width="10" style="71" customWidth="1"/>
    <col min="7428" max="7428" width="10.88671875" style="71" bestFit="1" customWidth="1"/>
    <col min="7429" max="7429" width="8" style="71" customWidth="1"/>
    <col min="7430" max="7430" width="8.44140625" style="71" bestFit="1" customWidth="1"/>
    <col min="7431" max="7431" width="10" style="71" customWidth="1"/>
    <col min="7432" max="7432" width="5.33203125" style="71" customWidth="1"/>
    <col min="7433" max="7434" width="9.6640625" style="71" customWidth="1"/>
    <col min="7435" max="7435" width="3.88671875" style="71" customWidth="1"/>
    <col min="7436" max="7436" width="28.33203125" style="71" bestFit="1" customWidth="1"/>
    <col min="7437" max="7437" width="9.44140625" style="71" bestFit="1" customWidth="1"/>
    <col min="7438" max="7680" width="9.109375" style="71"/>
    <col min="7681" max="7681" width="25" style="71" customWidth="1"/>
    <col min="7682" max="7683" width="10" style="71" customWidth="1"/>
    <col min="7684" max="7684" width="10.88671875" style="71" bestFit="1" customWidth="1"/>
    <col min="7685" max="7685" width="8" style="71" customWidth="1"/>
    <col min="7686" max="7686" width="8.44140625" style="71" bestFit="1" customWidth="1"/>
    <col min="7687" max="7687" width="10" style="71" customWidth="1"/>
    <col min="7688" max="7688" width="5.33203125" style="71" customWidth="1"/>
    <col min="7689" max="7690" width="9.6640625" style="71" customWidth="1"/>
    <col min="7691" max="7691" width="3.88671875" style="71" customWidth="1"/>
    <col min="7692" max="7692" width="28.33203125" style="71" bestFit="1" customWidth="1"/>
    <col min="7693" max="7693" width="9.44140625" style="71" bestFit="1" customWidth="1"/>
    <col min="7694" max="7936" width="9.109375" style="71"/>
    <col min="7937" max="7937" width="25" style="71" customWidth="1"/>
    <col min="7938" max="7939" width="10" style="71" customWidth="1"/>
    <col min="7940" max="7940" width="10.88671875" style="71" bestFit="1" customWidth="1"/>
    <col min="7941" max="7941" width="8" style="71" customWidth="1"/>
    <col min="7942" max="7942" width="8.44140625" style="71" bestFit="1" customWidth="1"/>
    <col min="7943" max="7943" width="10" style="71" customWidth="1"/>
    <col min="7944" max="7944" width="5.33203125" style="71" customWidth="1"/>
    <col min="7945" max="7946" width="9.6640625" style="71" customWidth="1"/>
    <col min="7947" max="7947" width="3.88671875" style="71" customWidth="1"/>
    <col min="7948" max="7948" width="28.33203125" style="71" bestFit="1" customWidth="1"/>
    <col min="7949" max="7949" width="9.44140625" style="71" bestFit="1" customWidth="1"/>
    <col min="7950" max="8192" width="9.109375" style="71"/>
    <col min="8193" max="8193" width="25" style="71" customWidth="1"/>
    <col min="8194" max="8195" width="10" style="71" customWidth="1"/>
    <col min="8196" max="8196" width="10.88671875" style="71" bestFit="1" customWidth="1"/>
    <col min="8197" max="8197" width="8" style="71" customWidth="1"/>
    <col min="8198" max="8198" width="8.44140625" style="71" bestFit="1" customWidth="1"/>
    <col min="8199" max="8199" width="10" style="71" customWidth="1"/>
    <col min="8200" max="8200" width="5.33203125" style="71" customWidth="1"/>
    <col min="8201" max="8202" width="9.6640625" style="71" customWidth="1"/>
    <col min="8203" max="8203" width="3.88671875" style="71" customWidth="1"/>
    <col min="8204" max="8204" width="28.33203125" style="71" bestFit="1" customWidth="1"/>
    <col min="8205" max="8205" width="9.44140625" style="71" bestFit="1" customWidth="1"/>
    <col min="8206" max="8448" width="9.109375" style="71"/>
    <col min="8449" max="8449" width="25" style="71" customWidth="1"/>
    <col min="8450" max="8451" width="10" style="71" customWidth="1"/>
    <col min="8452" max="8452" width="10.88671875" style="71" bestFit="1" customWidth="1"/>
    <col min="8453" max="8453" width="8" style="71" customWidth="1"/>
    <col min="8454" max="8454" width="8.44140625" style="71" bestFit="1" customWidth="1"/>
    <col min="8455" max="8455" width="10" style="71" customWidth="1"/>
    <col min="8456" max="8456" width="5.33203125" style="71" customWidth="1"/>
    <col min="8457" max="8458" width="9.6640625" style="71" customWidth="1"/>
    <col min="8459" max="8459" width="3.88671875" style="71" customWidth="1"/>
    <col min="8460" max="8460" width="28.33203125" style="71" bestFit="1" customWidth="1"/>
    <col min="8461" max="8461" width="9.44140625" style="71" bestFit="1" customWidth="1"/>
    <col min="8462" max="8704" width="9.109375" style="71"/>
    <col min="8705" max="8705" width="25" style="71" customWidth="1"/>
    <col min="8706" max="8707" width="10" style="71" customWidth="1"/>
    <col min="8708" max="8708" width="10.88671875" style="71" bestFit="1" customWidth="1"/>
    <col min="8709" max="8709" width="8" style="71" customWidth="1"/>
    <col min="8710" max="8710" width="8.44140625" style="71" bestFit="1" customWidth="1"/>
    <col min="8711" max="8711" width="10" style="71" customWidth="1"/>
    <col min="8712" max="8712" width="5.33203125" style="71" customWidth="1"/>
    <col min="8713" max="8714" width="9.6640625" style="71" customWidth="1"/>
    <col min="8715" max="8715" width="3.88671875" style="71" customWidth="1"/>
    <col min="8716" max="8716" width="28.33203125" style="71" bestFit="1" customWidth="1"/>
    <col min="8717" max="8717" width="9.44140625" style="71" bestFit="1" customWidth="1"/>
    <col min="8718" max="8960" width="9.109375" style="71"/>
    <col min="8961" max="8961" width="25" style="71" customWidth="1"/>
    <col min="8962" max="8963" width="10" style="71" customWidth="1"/>
    <col min="8964" max="8964" width="10.88671875" style="71" bestFit="1" customWidth="1"/>
    <col min="8965" max="8965" width="8" style="71" customWidth="1"/>
    <col min="8966" max="8966" width="8.44140625" style="71" bestFit="1" customWidth="1"/>
    <col min="8967" max="8967" width="10" style="71" customWidth="1"/>
    <col min="8968" max="8968" width="5.33203125" style="71" customWidth="1"/>
    <col min="8969" max="8970" width="9.6640625" style="71" customWidth="1"/>
    <col min="8971" max="8971" width="3.88671875" style="71" customWidth="1"/>
    <col min="8972" max="8972" width="28.33203125" style="71" bestFit="1" customWidth="1"/>
    <col min="8973" max="8973" width="9.44140625" style="71" bestFit="1" customWidth="1"/>
    <col min="8974" max="9216" width="9.109375" style="71"/>
    <col min="9217" max="9217" width="25" style="71" customWidth="1"/>
    <col min="9218" max="9219" width="10" style="71" customWidth="1"/>
    <col min="9220" max="9220" width="10.88671875" style="71" bestFit="1" customWidth="1"/>
    <col min="9221" max="9221" width="8" style="71" customWidth="1"/>
    <col min="9222" max="9222" width="8.44140625" style="71" bestFit="1" customWidth="1"/>
    <col min="9223" max="9223" width="10" style="71" customWidth="1"/>
    <col min="9224" max="9224" width="5.33203125" style="71" customWidth="1"/>
    <col min="9225" max="9226" width="9.6640625" style="71" customWidth="1"/>
    <col min="9227" max="9227" width="3.88671875" style="71" customWidth="1"/>
    <col min="9228" max="9228" width="28.33203125" style="71" bestFit="1" customWidth="1"/>
    <col min="9229" max="9229" width="9.44140625" style="71" bestFit="1" customWidth="1"/>
    <col min="9230" max="9472" width="9.109375" style="71"/>
    <col min="9473" max="9473" width="25" style="71" customWidth="1"/>
    <col min="9474" max="9475" width="10" style="71" customWidth="1"/>
    <col min="9476" max="9476" width="10.88671875" style="71" bestFit="1" customWidth="1"/>
    <col min="9477" max="9477" width="8" style="71" customWidth="1"/>
    <col min="9478" max="9478" width="8.44140625" style="71" bestFit="1" customWidth="1"/>
    <col min="9479" max="9479" width="10" style="71" customWidth="1"/>
    <col min="9480" max="9480" width="5.33203125" style="71" customWidth="1"/>
    <col min="9481" max="9482" width="9.6640625" style="71" customWidth="1"/>
    <col min="9483" max="9483" width="3.88671875" style="71" customWidth="1"/>
    <col min="9484" max="9484" width="28.33203125" style="71" bestFit="1" customWidth="1"/>
    <col min="9485" max="9485" width="9.44140625" style="71" bestFit="1" customWidth="1"/>
    <col min="9486" max="9728" width="9.109375" style="71"/>
    <col min="9729" max="9729" width="25" style="71" customWidth="1"/>
    <col min="9730" max="9731" width="10" style="71" customWidth="1"/>
    <col min="9732" max="9732" width="10.88671875" style="71" bestFit="1" customWidth="1"/>
    <col min="9733" max="9733" width="8" style="71" customWidth="1"/>
    <col min="9734" max="9734" width="8.44140625" style="71" bestFit="1" customWidth="1"/>
    <col min="9735" max="9735" width="10" style="71" customWidth="1"/>
    <col min="9736" max="9736" width="5.33203125" style="71" customWidth="1"/>
    <col min="9737" max="9738" width="9.6640625" style="71" customWidth="1"/>
    <col min="9739" max="9739" width="3.88671875" style="71" customWidth="1"/>
    <col min="9740" max="9740" width="28.33203125" style="71" bestFit="1" customWidth="1"/>
    <col min="9741" max="9741" width="9.44140625" style="71" bestFit="1" customWidth="1"/>
    <col min="9742" max="9984" width="9.109375" style="71"/>
    <col min="9985" max="9985" width="25" style="71" customWidth="1"/>
    <col min="9986" max="9987" width="10" style="71" customWidth="1"/>
    <col min="9988" max="9988" width="10.88671875" style="71" bestFit="1" customWidth="1"/>
    <col min="9989" max="9989" width="8" style="71" customWidth="1"/>
    <col min="9990" max="9990" width="8.44140625" style="71" bestFit="1" customWidth="1"/>
    <col min="9991" max="9991" width="10" style="71" customWidth="1"/>
    <col min="9992" max="9992" width="5.33203125" style="71" customWidth="1"/>
    <col min="9993" max="9994" width="9.6640625" style="71" customWidth="1"/>
    <col min="9995" max="9995" width="3.88671875" style="71" customWidth="1"/>
    <col min="9996" max="9996" width="28.33203125" style="71" bestFit="1" customWidth="1"/>
    <col min="9997" max="9997" width="9.44140625" style="71" bestFit="1" customWidth="1"/>
    <col min="9998" max="10240" width="9.109375" style="71"/>
    <col min="10241" max="10241" width="25" style="71" customWidth="1"/>
    <col min="10242" max="10243" width="10" style="71" customWidth="1"/>
    <col min="10244" max="10244" width="10.88671875" style="71" bestFit="1" customWidth="1"/>
    <col min="10245" max="10245" width="8" style="71" customWidth="1"/>
    <col min="10246" max="10246" width="8.44140625" style="71" bestFit="1" customWidth="1"/>
    <col min="10247" max="10247" width="10" style="71" customWidth="1"/>
    <col min="10248" max="10248" width="5.33203125" style="71" customWidth="1"/>
    <col min="10249" max="10250" width="9.6640625" style="71" customWidth="1"/>
    <col min="10251" max="10251" width="3.88671875" style="71" customWidth="1"/>
    <col min="10252" max="10252" width="28.33203125" style="71" bestFit="1" customWidth="1"/>
    <col min="10253" max="10253" width="9.44140625" style="71" bestFit="1" customWidth="1"/>
    <col min="10254" max="10496" width="9.109375" style="71"/>
    <col min="10497" max="10497" width="25" style="71" customWidth="1"/>
    <col min="10498" max="10499" width="10" style="71" customWidth="1"/>
    <col min="10500" max="10500" width="10.88671875" style="71" bestFit="1" customWidth="1"/>
    <col min="10501" max="10501" width="8" style="71" customWidth="1"/>
    <col min="10502" max="10502" width="8.44140625" style="71" bestFit="1" customWidth="1"/>
    <col min="10503" max="10503" width="10" style="71" customWidth="1"/>
    <col min="10504" max="10504" width="5.33203125" style="71" customWidth="1"/>
    <col min="10505" max="10506" width="9.6640625" style="71" customWidth="1"/>
    <col min="10507" max="10507" width="3.88671875" style="71" customWidth="1"/>
    <col min="10508" max="10508" width="28.33203125" style="71" bestFit="1" customWidth="1"/>
    <col min="10509" max="10509" width="9.44140625" style="71" bestFit="1" customWidth="1"/>
    <col min="10510" max="10752" width="9.109375" style="71"/>
    <col min="10753" max="10753" width="25" style="71" customWidth="1"/>
    <col min="10754" max="10755" width="10" style="71" customWidth="1"/>
    <col min="10756" max="10756" width="10.88671875" style="71" bestFit="1" customWidth="1"/>
    <col min="10757" max="10757" width="8" style="71" customWidth="1"/>
    <col min="10758" max="10758" width="8.44140625" style="71" bestFit="1" customWidth="1"/>
    <col min="10759" max="10759" width="10" style="71" customWidth="1"/>
    <col min="10760" max="10760" width="5.33203125" style="71" customWidth="1"/>
    <col min="10761" max="10762" width="9.6640625" style="71" customWidth="1"/>
    <col min="10763" max="10763" width="3.88671875" style="71" customWidth="1"/>
    <col min="10764" max="10764" width="28.33203125" style="71" bestFit="1" customWidth="1"/>
    <col min="10765" max="10765" width="9.44140625" style="71" bestFit="1" customWidth="1"/>
    <col min="10766" max="11008" width="9.109375" style="71"/>
    <col min="11009" max="11009" width="25" style="71" customWidth="1"/>
    <col min="11010" max="11011" width="10" style="71" customWidth="1"/>
    <col min="11012" max="11012" width="10.88671875" style="71" bestFit="1" customWidth="1"/>
    <col min="11013" max="11013" width="8" style="71" customWidth="1"/>
    <col min="11014" max="11014" width="8.44140625" style="71" bestFit="1" customWidth="1"/>
    <col min="11015" max="11015" width="10" style="71" customWidth="1"/>
    <col min="11016" max="11016" width="5.33203125" style="71" customWidth="1"/>
    <col min="11017" max="11018" width="9.6640625" style="71" customWidth="1"/>
    <col min="11019" max="11019" width="3.88671875" style="71" customWidth="1"/>
    <col min="11020" max="11020" width="28.33203125" style="71" bestFit="1" customWidth="1"/>
    <col min="11021" max="11021" width="9.44140625" style="71" bestFit="1" customWidth="1"/>
    <col min="11022" max="11264" width="9.109375" style="71"/>
    <col min="11265" max="11265" width="25" style="71" customWidth="1"/>
    <col min="11266" max="11267" width="10" style="71" customWidth="1"/>
    <col min="11268" max="11268" width="10.88671875" style="71" bestFit="1" customWidth="1"/>
    <col min="11269" max="11269" width="8" style="71" customWidth="1"/>
    <col min="11270" max="11270" width="8.44140625" style="71" bestFit="1" customWidth="1"/>
    <col min="11271" max="11271" width="10" style="71" customWidth="1"/>
    <col min="11272" max="11272" width="5.33203125" style="71" customWidth="1"/>
    <col min="11273" max="11274" width="9.6640625" style="71" customWidth="1"/>
    <col min="11275" max="11275" width="3.88671875" style="71" customWidth="1"/>
    <col min="11276" max="11276" width="28.33203125" style="71" bestFit="1" customWidth="1"/>
    <col min="11277" max="11277" width="9.44140625" style="71" bestFit="1" customWidth="1"/>
    <col min="11278" max="11520" width="9.109375" style="71"/>
    <col min="11521" max="11521" width="25" style="71" customWidth="1"/>
    <col min="11522" max="11523" width="10" style="71" customWidth="1"/>
    <col min="11524" max="11524" width="10.88671875" style="71" bestFit="1" customWidth="1"/>
    <col min="11525" max="11525" width="8" style="71" customWidth="1"/>
    <col min="11526" max="11526" width="8.44140625" style="71" bestFit="1" customWidth="1"/>
    <col min="11527" max="11527" width="10" style="71" customWidth="1"/>
    <col min="11528" max="11528" width="5.33203125" style="71" customWidth="1"/>
    <col min="11529" max="11530" width="9.6640625" style="71" customWidth="1"/>
    <col min="11531" max="11531" width="3.88671875" style="71" customWidth="1"/>
    <col min="11532" max="11532" width="28.33203125" style="71" bestFit="1" customWidth="1"/>
    <col min="11533" max="11533" width="9.44140625" style="71" bestFit="1" customWidth="1"/>
    <col min="11534" max="11776" width="9.109375" style="71"/>
    <col min="11777" max="11777" width="25" style="71" customWidth="1"/>
    <col min="11778" max="11779" width="10" style="71" customWidth="1"/>
    <col min="11780" max="11780" width="10.88671875" style="71" bestFit="1" customWidth="1"/>
    <col min="11781" max="11781" width="8" style="71" customWidth="1"/>
    <col min="11782" max="11782" width="8.44140625" style="71" bestFit="1" customWidth="1"/>
    <col min="11783" max="11783" width="10" style="71" customWidth="1"/>
    <col min="11784" max="11784" width="5.33203125" style="71" customWidth="1"/>
    <col min="11785" max="11786" width="9.6640625" style="71" customWidth="1"/>
    <col min="11787" max="11787" width="3.88671875" style="71" customWidth="1"/>
    <col min="11788" max="11788" width="28.33203125" style="71" bestFit="1" customWidth="1"/>
    <col min="11789" max="11789" width="9.44140625" style="71" bestFit="1" customWidth="1"/>
    <col min="11790" max="12032" width="9.109375" style="71"/>
    <col min="12033" max="12033" width="25" style="71" customWidth="1"/>
    <col min="12034" max="12035" width="10" style="71" customWidth="1"/>
    <col min="12036" max="12036" width="10.88671875" style="71" bestFit="1" customWidth="1"/>
    <col min="12037" max="12037" width="8" style="71" customWidth="1"/>
    <col min="12038" max="12038" width="8.44140625" style="71" bestFit="1" customWidth="1"/>
    <col min="12039" max="12039" width="10" style="71" customWidth="1"/>
    <col min="12040" max="12040" width="5.33203125" style="71" customWidth="1"/>
    <col min="12041" max="12042" width="9.6640625" style="71" customWidth="1"/>
    <col min="12043" max="12043" width="3.88671875" style="71" customWidth="1"/>
    <col min="12044" max="12044" width="28.33203125" style="71" bestFit="1" customWidth="1"/>
    <col min="12045" max="12045" width="9.44140625" style="71" bestFit="1" customWidth="1"/>
    <col min="12046" max="12288" width="9.109375" style="71"/>
    <col min="12289" max="12289" width="25" style="71" customWidth="1"/>
    <col min="12290" max="12291" width="10" style="71" customWidth="1"/>
    <col min="12292" max="12292" width="10.88671875" style="71" bestFit="1" customWidth="1"/>
    <col min="12293" max="12293" width="8" style="71" customWidth="1"/>
    <col min="12294" max="12294" width="8.44140625" style="71" bestFit="1" customWidth="1"/>
    <col min="12295" max="12295" width="10" style="71" customWidth="1"/>
    <col min="12296" max="12296" width="5.33203125" style="71" customWidth="1"/>
    <col min="12297" max="12298" width="9.6640625" style="71" customWidth="1"/>
    <col min="12299" max="12299" width="3.88671875" style="71" customWidth="1"/>
    <col min="12300" max="12300" width="28.33203125" style="71" bestFit="1" customWidth="1"/>
    <col min="12301" max="12301" width="9.44140625" style="71" bestFit="1" customWidth="1"/>
    <col min="12302" max="12544" width="9.109375" style="71"/>
    <col min="12545" max="12545" width="25" style="71" customWidth="1"/>
    <col min="12546" max="12547" width="10" style="71" customWidth="1"/>
    <col min="12548" max="12548" width="10.88671875" style="71" bestFit="1" customWidth="1"/>
    <col min="12549" max="12549" width="8" style="71" customWidth="1"/>
    <col min="12550" max="12550" width="8.44140625" style="71" bestFit="1" customWidth="1"/>
    <col min="12551" max="12551" width="10" style="71" customWidth="1"/>
    <col min="12552" max="12552" width="5.33203125" style="71" customWidth="1"/>
    <col min="12553" max="12554" width="9.6640625" style="71" customWidth="1"/>
    <col min="12555" max="12555" width="3.88671875" style="71" customWidth="1"/>
    <col min="12556" max="12556" width="28.33203125" style="71" bestFit="1" customWidth="1"/>
    <col min="12557" max="12557" width="9.44140625" style="71" bestFit="1" customWidth="1"/>
    <col min="12558" max="12800" width="9.109375" style="71"/>
    <col min="12801" max="12801" width="25" style="71" customWidth="1"/>
    <col min="12802" max="12803" width="10" style="71" customWidth="1"/>
    <col min="12804" max="12804" width="10.88671875" style="71" bestFit="1" customWidth="1"/>
    <col min="12805" max="12805" width="8" style="71" customWidth="1"/>
    <col min="12806" max="12806" width="8.44140625" style="71" bestFit="1" customWidth="1"/>
    <col min="12807" max="12807" width="10" style="71" customWidth="1"/>
    <col min="12808" max="12808" width="5.33203125" style="71" customWidth="1"/>
    <col min="12809" max="12810" width="9.6640625" style="71" customWidth="1"/>
    <col min="12811" max="12811" width="3.88671875" style="71" customWidth="1"/>
    <col min="12812" max="12812" width="28.33203125" style="71" bestFit="1" customWidth="1"/>
    <col min="12813" max="12813" width="9.44140625" style="71" bestFit="1" customWidth="1"/>
    <col min="12814" max="13056" width="9.109375" style="71"/>
    <col min="13057" max="13057" width="25" style="71" customWidth="1"/>
    <col min="13058" max="13059" width="10" style="71" customWidth="1"/>
    <col min="13060" max="13060" width="10.88671875" style="71" bestFit="1" customWidth="1"/>
    <col min="13061" max="13061" width="8" style="71" customWidth="1"/>
    <col min="13062" max="13062" width="8.44140625" style="71" bestFit="1" customWidth="1"/>
    <col min="13063" max="13063" width="10" style="71" customWidth="1"/>
    <col min="13064" max="13064" width="5.33203125" style="71" customWidth="1"/>
    <col min="13065" max="13066" width="9.6640625" style="71" customWidth="1"/>
    <col min="13067" max="13067" width="3.88671875" style="71" customWidth="1"/>
    <col min="13068" max="13068" width="28.33203125" style="71" bestFit="1" customWidth="1"/>
    <col min="13069" max="13069" width="9.44140625" style="71" bestFit="1" customWidth="1"/>
    <col min="13070" max="13312" width="9.109375" style="71"/>
    <col min="13313" max="13313" width="25" style="71" customWidth="1"/>
    <col min="13314" max="13315" width="10" style="71" customWidth="1"/>
    <col min="13316" max="13316" width="10.88671875" style="71" bestFit="1" customWidth="1"/>
    <col min="13317" max="13317" width="8" style="71" customWidth="1"/>
    <col min="13318" max="13318" width="8.44140625" style="71" bestFit="1" customWidth="1"/>
    <col min="13319" max="13319" width="10" style="71" customWidth="1"/>
    <col min="13320" max="13320" width="5.33203125" style="71" customWidth="1"/>
    <col min="13321" max="13322" width="9.6640625" style="71" customWidth="1"/>
    <col min="13323" max="13323" width="3.88671875" style="71" customWidth="1"/>
    <col min="13324" max="13324" width="28.33203125" style="71" bestFit="1" customWidth="1"/>
    <col min="13325" max="13325" width="9.44140625" style="71" bestFit="1" customWidth="1"/>
    <col min="13326" max="13568" width="9.109375" style="71"/>
    <col min="13569" max="13569" width="25" style="71" customWidth="1"/>
    <col min="13570" max="13571" width="10" style="71" customWidth="1"/>
    <col min="13572" max="13572" width="10.88671875" style="71" bestFit="1" customWidth="1"/>
    <col min="13573" max="13573" width="8" style="71" customWidth="1"/>
    <col min="13574" max="13574" width="8.44140625" style="71" bestFit="1" customWidth="1"/>
    <col min="13575" max="13575" width="10" style="71" customWidth="1"/>
    <col min="13576" max="13576" width="5.33203125" style="71" customWidth="1"/>
    <col min="13577" max="13578" width="9.6640625" style="71" customWidth="1"/>
    <col min="13579" max="13579" width="3.88671875" style="71" customWidth="1"/>
    <col min="13580" max="13580" width="28.33203125" style="71" bestFit="1" customWidth="1"/>
    <col min="13581" max="13581" width="9.44140625" style="71" bestFit="1" customWidth="1"/>
    <col min="13582" max="13824" width="9.109375" style="71"/>
    <col min="13825" max="13825" width="25" style="71" customWidth="1"/>
    <col min="13826" max="13827" width="10" style="71" customWidth="1"/>
    <col min="13828" max="13828" width="10.88671875" style="71" bestFit="1" customWidth="1"/>
    <col min="13829" max="13829" width="8" style="71" customWidth="1"/>
    <col min="13830" max="13830" width="8.44140625" style="71" bestFit="1" customWidth="1"/>
    <col min="13831" max="13831" width="10" style="71" customWidth="1"/>
    <col min="13832" max="13832" width="5.33203125" style="71" customWidth="1"/>
    <col min="13833" max="13834" width="9.6640625" style="71" customWidth="1"/>
    <col min="13835" max="13835" width="3.88671875" style="71" customWidth="1"/>
    <col min="13836" max="13836" width="28.33203125" style="71" bestFit="1" customWidth="1"/>
    <col min="13837" max="13837" width="9.44140625" style="71" bestFit="1" customWidth="1"/>
    <col min="13838" max="14080" width="9.109375" style="71"/>
    <col min="14081" max="14081" width="25" style="71" customWidth="1"/>
    <col min="14082" max="14083" width="10" style="71" customWidth="1"/>
    <col min="14084" max="14084" width="10.88671875" style="71" bestFit="1" customWidth="1"/>
    <col min="14085" max="14085" width="8" style="71" customWidth="1"/>
    <col min="14086" max="14086" width="8.44140625" style="71" bestFit="1" customWidth="1"/>
    <col min="14087" max="14087" width="10" style="71" customWidth="1"/>
    <col min="14088" max="14088" width="5.33203125" style="71" customWidth="1"/>
    <col min="14089" max="14090" width="9.6640625" style="71" customWidth="1"/>
    <col min="14091" max="14091" width="3.88671875" style="71" customWidth="1"/>
    <col min="14092" max="14092" width="28.33203125" style="71" bestFit="1" customWidth="1"/>
    <col min="14093" max="14093" width="9.44140625" style="71" bestFit="1" customWidth="1"/>
    <col min="14094" max="14336" width="9.109375" style="71"/>
    <col min="14337" max="14337" width="25" style="71" customWidth="1"/>
    <col min="14338" max="14339" width="10" style="71" customWidth="1"/>
    <col min="14340" max="14340" width="10.88671875" style="71" bestFit="1" customWidth="1"/>
    <col min="14341" max="14341" width="8" style="71" customWidth="1"/>
    <col min="14342" max="14342" width="8.44140625" style="71" bestFit="1" customWidth="1"/>
    <col min="14343" max="14343" width="10" style="71" customWidth="1"/>
    <col min="14344" max="14344" width="5.33203125" style="71" customWidth="1"/>
    <col min="14345" max="14346" width="9.6640625" style="71" customWidth="1"/>
    <col min="14347" max="14347" width="3.88671875" style="71" customWidth="1"/>
    <col min="14348" max="14348" width="28.33203125" style="71" bestFit="1" customWidth="1"/>
    <col min="14349" max="14349" width="9.44140625" style="71" bestFit="1" customWidth="1"/>
    <col min="14350" max="14592" width="9.109375" style="71"/>
    <col min="14593" max="14593" width="25" style="71" customWidth="1"/>
    <col min="14594" max="14595" width="10" style="71" customWidth="1"/>
    <col min="14596" max="14596" width="10.88671875" style="71" bestFit="1" customWidth="1"/>
    <col min="14597" max="14597" width="8" style="71" customWidth="1"/>
    <col min="14598" max="14598" width="8.44140625" style="71" bestFit="1" customWidth="1"/>
    <col min="14599" max="14599" width="10" style="71" customWidth="1"/>
    <col min="14600" max="14600" width="5.33203125" style="71" customWidth="1"/>
    <col min="14601" max="14602" width="9.6640625" style="71" customWidth="1"/>
    <col min="14603" max="14603" width="3.88671875" style="71" customWidth="1"/>
    <col min="14604" max="14604" width="28.33203125" style="71" bestFit="1" customWidth="1"/>
    <col min="14605" max="14605" width="9.44140625" style="71" bestFit="1" customWidth="1"/>
    <col min="14606" max="14848" width="9.109375" style="71"/>
    <col min="14849" max="14849" width="25" style="71" customWidth="1"/>
    <col min="14850" max="14851" width="10" style="71" customWidth="1"/>
    <col min="14852" max="14852" width="10.88671875" style="71" bestFit="1" customWidth="1"/>
    <col min="14853" max="14853" width="8" style="71" customWidth="1"/>
    <col min="14854" max="14854" width="8.44140625" style="71" bestFit="1" customWidth="1"/>
    <col min="14855" max="14855" width="10" style="71" customWidth="1"/>
    <col min="14856" max="14856" width="5.33203125" style="71" customWidth="1"/>
    <col min="14857" max="14858" width="9.6640625" style="71" customWidth="1"/>
    <col min="14859" max="14859" width="3.88671875" style="71" customWidth="1"/>
    <col min="14860" max="14860" width="28.33203125" style="71" bestFit="1" customWidth="1"/>
    <col min="14861" max="14861" width="9.44140625" style="71" bestFit="1" customWidth="1"/>
    <col min="14862" max="15104" width="9.109375" style="71"/>
    <col min="15105" max="15105" width="25" style="71" customWidth="1"/>
    <col min="15106" max="15107" width="10" style="71" customWidth="1"/>
    <col min="15108" max="15108" width="10.88671875" style="71" bestFit="1" customWidth="1"/>
    <col min="15109" max="15109" width="8" style="71" customWidth="1"/>
    <col min="15110" max="15110" width="8.44140625" style="71" bestFit="1" customWidth="1"/>
    <col min="15111" max="15111" width="10" style="71" customWidth="1"/>
    <col min="15112" max="15112" width="5.33203125" style="71" customWidth="1"/>
    <col min="15113" max="15114" width="9.6640625" style="71" customWidth="1"/>
    <col min="15115" max="15115" width="3.88671875" style="71" customWidth="1"/>
    <col min="15116" max="15116" width="28.33203125" style="71" bestFit="1" customWidth="1"/>
    <col min="15117" max="15117" width="9.44140625" style="71" bestFit="1" customWidth="1"/>
    <col min="15118" max="15360" width="9.109375" style="71"/>
    <col min="15361" max="15361" width="25" style="71" customWidth="1"/>
    <col min="15362" max="15363" width="10" style="71" customWidth="1"/>
    <col min="15364" max="15364" width="10.88671875" style="71" bestFit="1" customWidth="1"/>
    <col min="15365" max="15365" width="8" style="71" customWidth="1"/>
    <col min="15366" max="15366" width="8.44140625" style="71" bestFit="1" customWidth="1"/>
    <col min="15367" max="15367" width="10" style="71" customWidth="1"/>
    <col min="15368" max="15368" width="5.33203125" style="71" customWidth="1"/>
    <col min="15369" max="15370" width="9.6640625" style="71" customWidth="1"/>
    <col min="15371" max="15371" width="3.88671875" style="71" customWidth="1"/>
    <col min="15372" max="15372" width="28.33203125" style="71" bestFit="1" customWidth="1"/>
    <col min="15373" max="15373" width="9.44140625" style="71" bestFit="1" customWidth="1"/>
    <col min="15374" max="15616" width="9.109375" style="71"/>
    <col min="15617" max="15617" width="25" style="71" customWidth="1"/>
    <col min="15618" max="15619" width="10" style="71" customWidth="1"/>
    <col min="15620" max="15620" width="10.88671875" style="71" bestFit="1" customWidth="1"/>
    <col min="15621" max="15621" width="8" style="71" customWidth="1"/>
    <col min="15622" max="15622" width="8.44140625" style="71" bestFit="1" customWidth="1"/>
    <col min="15623" max="15623" width="10" style="71" customWidth="1"/>
    <col min="15624" max="15624" width="5.33203125" style="71" customWidth="1"/>
    <col min="15625" max="15626" width="9.6640625" style="71" customWidth="1"/>
    <col min="15627" max="15627" width="3.88671875" style="71" customWidth="1"/>
    <col min="15628" max="15628" width="28.33203125" style="71" bestFit="1" customWidth="1"/>
    <col min="15629" max="15629" width="9.44140625" style="71" bestFit="1" customWidth="1"/>
    <col min="15630" max="15872" width="9.109375" style="71"/>
    <col min="15873" max="15873" width="25" style="71" customWidth="1"/>
    <col min="15874" max="15875" width="10" style="71" customWidth="1"/>
    <col min="15876" max="15876" width="10.88671875" style="71" bestFit="1" customWidth="1"/>
    <col min="15877" max="15877" width="8" style="71" customWidth="1"/>
    <col min="15878" max="15878" width="8.44140625" style="71" bestFit="1" customWidth="1"/>
    <col min="15879" max="15879" width="10" style="71" customWidth="1"/>
    <col min="15880" max="15880" width="5.33203125" style="71" customWidth="1"/>
    <col min="15881" max="15882" width="9.6640625" style="71" customWidth="1"/>
    <col min="15883" max="15883" width="3.88671875" style="71" customWidth="1"/>
    <col min="15884" max="15884" width="28.33203125" style="71" bestFit="1" customWidth="1"/>
    <col min="15885" max="15885" width="9.44140625" style="71" bestFit="1" customWidth="1"/>
    <col min="15886" max="16128" width="9.109375" style="71"/>
    <col min="16129" max="16129" width="25" style="71" customWidth="1"/>
    <col min="16130" max="16131" width="10" style="71" customWidth="1"/>
    <col min="16132" max="16132" width="10.88671875" style="71" bestFit="1" customWidth="1"/>
    <col min="16133" max="16133" width="8" style="71" customWidth="1"/>
    <col min="16134" max="16134" width="8.44140625" style="71" bestFit="1" customWidth="1"/>
    <col min="16135" max="16135" width="10" style="71" customWidth="1"/>
    <col min="16136" max="16136" width="5.33203125" style="71" customWidth="1"/>
    <col min="16137" max="16138" width="9.6640625" style="71" customWidth="1"/>
    <col min="16139" max="16139" width="3.88671875" style="71" customWidth="1"/>
    <col min="16140" max="16140" width="28.33203125" style="71" bestFit="1" customWidth="1"/>
    <col min="16141" max="16141" width="9.44140625" style="71" bestFit="1" customWidth="1"/>
    <col min="16142" max="16384" width="9.109375" style="71"/>
  </cols>
  <sheetData>
    <row r="1" spans="1:16" s="69" customFormat="1" x14ac:dyDescent="0.3">
      <c r="A1" s="68" t="s">
        <v>98</v>
      </c>
      <c r="H1" s="97" t="s">
        <v>158</v>
      </c>
      <c r="J1" s="70"/>
      <c r="K1" s="70"/>
    </row>
    <row r="2" spans="1:16" x14ac:dyDescent="0.3">
      <c r="A2" s="71" t="s">
        <v>188</v>
      </c>
    </row>
    <row r="3" spans="1:16" x14ac:dyDescent="0.3">
      <c r="A3" s="71" t="s">
        <v>189</v>
      </c>
      <c r="L3" s="85" t="s">
        <v>174</v>
      </c>
      <c r="M3" s="87" t="s">
        <v>165</v>
      </c>
      <c r="N3" s="87" t="s">
        <v>166</v>
      </c>
      <c r="O3" s="87" t="s">
        <v>167</v>
      </c>
      <c r="P3" s="85"/>
    </row>
    <row r="4" spans="1:16" x14ac:dyDescent="0.3">
      <c r="A4" s="71" t="s">
        <v>190</v>
      </c>
      <c r="L4" s="85" t="s">
        <v>175</v>
      </c>
      <c r="M4" s="89" t="e">
        <f>2000*B5</f>
        <v>#REF!</v>
      </c>
      <c r="N4" s="89" t="e">
        <f>M4</f>
        <v>#REF!</v>
      </c>
      <c r="O4" s="89" t="e">
        <f>N4</f>
        <v>#REF!</v>
      </c>
      <c r="P4" s="85"/>
    </row>
    <row r="5" spans="1:16" x14ac:dyDescent="0.3">
      <c r="A5" s="71" t="s">
        <v>191</v>
      </c>
      <c r="B5" s="72" t="e">
        <f>#REF!*38</f>
        <v>#REF!</v>
      </c>
      <c r="C5" s="71" t="s">
        <v>40</v>
      </c>
      <c r="H5" s="72"/>
      <c r="L5" s="85" t="s">
        <v>176</v>
      </c>
      <c r="M5" s="89" t="e">
        <f>8000*$G$8</f>
        <v>#REF!</v>
      </c>
      <c r="N5" s="89" t="e">
        <f t="shared" ref="N5:O5" si="0">8000*$G$8</f>
        <v>#REF!</v>
      </c>
      <c r="O5" s="89" t="e">
        <f t="shared" si="0"/>
        <v>#REF!</v>
      </c>
      <c r="P5" s="85"/>
    </row>
    <row r="6" spans="1:16" x14ac:dyDescent="0.3">
      <c r="A6" s="71" t="s">
        <v>159</v>
      </c>
      <c r="L6" s="85" t="s">
        <v>117</v>
      </c>
      <c r="M6" s="89" t="e">
        <f>-(2000*B5+6200*G8)</f>
        <v>#REF!</v>
      </c>
      <c r="N6" s="89" t="e">
        <f>-(8000*G8+200*B5)</f>
        <v>#REF!</v>
      </c>
      <c r="O6" s="89" t="e">
        <f>-((2000*B5+8000*G8)/10000)*8200</f>
        <v>#REF!</v>
      </c>
      <c r="P6" s="85"/>
    </row>
    <row r="7" spans="1:16" ht="8.25" customHeight="1" x14ac:dyDescent="0.3">
      <c r="C7" s="72"/>
      <c r="L7" s="85"/>
      <c r="M7" s="88"/>
      <c r="N7" s="88"/>
      <c r="O7" s="88"/>
      <c r="P7" s="85"/>
    </row>
    <row r="8" spans="1:16" x14ac:dyDescent="0.3">
      <c r="A8" s="73" t="s">
        <v>160</v>
      </c>
      <c r="G8" s="74" t="e">
        <f>#REF!*40</f>
        <v>#REF!</v>
      </c>
      <c r="L8" s="85" t="s">
        <v>177</v>
      </c>
      <c r="M8" s="90" t="e">
        <f>SUM(M4:M6)</f>
        <v>#REF!</v>
      </c>
      <c r="N8" s="90" t="e">
        <f t="shared" ref="N8:O8" si="1">SUM(N4:N6)</f>
        <v>#REF!</v>
      </c>
      <c r="O8" s="90" t="e">
        <f t="shared" si="1"/>
        <v>#REF!</v>
      </c>
      <c r="P8" s="85"/>
    </row>
    <row r="9" spans="1:16" x14ac:dyDescent="0.3">
      <c r="A9" s="73" t="s">
        <v>161</v>
      </c>
      <c r="D9" s="74"/>
      <c r="G9" s="75" t="e">
        <f>194500*#REF!</f>
        <v>#REF!</v>
      </c>
      <c r="L9" s="91" t="s">
        <v>178</v>
      </c>
      <c r="M9" s="92" t="e">
        <f>1800*G8-M8</f>
        <v>#REF!</v>
      </c>
      <c r="N9" s="92" t="e">
        <f>1800*B5-N8</f>
        <v>#REF!</v>
      </c>
      <c r="O9" s="92" t="e">
        <f>((2000*B5+8000*G8)/10000*1800)-O8</f>
        <v>#REF!</v>
      </c>
      <c r="P9" s="85"/>
    </row>
    <row r="10" spans="1:16" x14ac:dyDescent="0.3">
      <c r="A10" s="73" t="s">
        <v>162</v>
      </c>
      <c r="D10" s="74"/>
      <c r="G10" s="74" t="e">
        <f>#REF!*75</f>
        <v>#REF!</v>
      </c>
      <c r="L10" s="85"/>
      <c r="M10" s="85"/>
      <c r="N10" s="85"/>
      <c r="O10" s="85"/>
      <c r="P10" s="85"/>
    </row>
    <row r="11" spans="1:16" ht="7.5" customHeight="1" x14ac:dyDescent="0.3">
      <c r="A11" s="73"/>
      <c r="D11" s="74"/>
      <c r="L11" s="85"/>
      <c r="M11" s="85"/>
      <c r="N11" s="85"/>
      <c r="O11" s="85"/>
      <c r="P11" s="85"/>
    </row>
    <row r="12" spans="1:16" x14ac:dyDescent="0.3">
      <c r="A12" s="71" t="s">
        <v>163</v>
      </c>
      <c r="L12" s="85"/>
      <c r="M12" s="85"/>
      <c r="N12" s="85"/>
      <c r="O12" s="85"/>
      <c r="P12" s="85"/>
    </row>
    <row r="13" spans="1:16" x14ac:dyDescent="0.3">
      <c r="A13" s="71" t="s">
        <v>164</v>
      </c>
      <c r="L13" s="85"/>
      <c r="M13" s="85"/>
      <c r="N13" s="85"/>
      <c r="O13" s="85"/>
      <c r="P13" s="85"/>
    </row>
    <row r="14" spans="1:16" x14ac:dyDescent="0.3">
      <c r="L14" s="85"/>
      <c r="M14" s="85"/>
      <c r="N14" s="85"/>
      <c r="O14" s="85"/>
      <c r="P14" s="85"/>
    </row>
    <row r="15" spans="1:16" x14ac:dyDescent="0.3">
      <c r="A15" s="71" t="s">
        <v>204</v>
      </c>
      <c r="L15" s="85"/>
      <c r="M15" s="85"/>
      <c r="N15" s="85"/>
      <c r="O15" s="85"/>
      <c r="P15" s="85"/>
    </row>
    <row r="16" spans="1:16" x14ac:dyDescent="0.3">
      <c r="A16" s="71" t="s">
        <v>402</v>
      </c>
    </row>
    <row r="17" spans="1:13" ht="8.25" customHeight="1" x14ac:dyDescent="0.3"/>
    <row r="18" spans="1:13" x14ac:dyDescent="0.3">
      <c r="A18" s="71" t="s">
        <v>405</v>
      </c>
    </row>
    <row r="19" spans="1:13" x14ac:dyDescent="0.3">
      <c r="A19" s="71" t="s">
        <v>404</v>
      </c>
      <c r="L19" s="86" t="s">
        <v>179</v>
      </c>
    </row>
    <row r="20" spans="1:13" x14ac:dyDescent="0.3">
      <c r="L20" s="86"/>
    </row>
    <row r="21" spans="1:13" ht="24.9" customHeight="1" x14ac:dyDescent="0.3">
      <c r="A21" s="79" t="s">
        <v>168</v>
      </c>
      <c r="B21" s="80"/>
      <c r="C21" s="80"/>
      <c r="D21" s="80"/>
      <c r="E21" s="81"/>
      <c r="F21" s="78" t="s">
        <v>165</v>
      </c>
      <c r="G21" s="78" t="s">
        <v>167</v>
      </c>
      <c r="L21" s="86" t="s">
        <v>185</v>
      </c>
    </row>
    <row r="22" spans="1:13" ht="24.9" customHeight="1" x14ac:dyDescent="0.3">
      <c r="A22" s="82" t="s">
        <v>169</v>
      </c>
      <c r="B22" s="80"/>
      <c r="C22" s="80"/>
      <c r="D22" s="80"/>
      <c r="E22" s="83"/>
      <c r="F22" s="343" t="e">
        <f>8200*G10</f>
        <v>#REF!</v>
      </c>
      <c r="G22" s="343" t="e">
        <f>F22</f>
        <v>#REF!</v>
      </c>
      <c r="L22" s="85" t="s">
        <v>165</v>
      </c>
      <c r="M22" s="85">
        <v>0.3</v>
      </c>
    </row>
    <row r="23" spans="1:13" ht="24.9" customHeight="1" x14ac:dyDescent="0.3">
      <c r="A23" s="82" t="s">
        <v>170</v>
      </c>
      <c r="B23" s="80"/>
      <c r="C23" s="80"/>
      <c r="D23" s="80"/>
      <c r="E23" s="83"/>
      <c r="F23" s="89" t="e">
        <f>M6</f>
        <v>#REF!</v>
      </c>
      <c r="G23" s="89" t="e">
        <f>O6</f>
        <v>#REF!</v>
      </c>
      <c r="L23" s="85" t="s">
        <v>167</v>
      </c>
      <c r="M23" s="85">
        <v>0.3</v>
      </c>
    </row>
    <row r="24" spans="1:13" ht="24.9" customHeight="1" x14ac:dyDescent="0.3">
      <c r="A24" s="84" t="s">
        <v>44</v>
      </c>
      <c r="B24" s="80"/>
      <c r="C24" s="80"/>
      <c r="D24" s="80"/>
      <c r="E24" s="83"/>
      <c r="F24" s="93" t="e">
        <f>SUM(F22:F23)</f>
        <v>#REF!</v>
      </c>
      <c r="G24" s="93" t="e">
        <f>SUM(G22:G23)</f>
        <v>#REF!</v>
      </c>
      <c r="L24" s="91" t="s">
        <v>182</v>
      </c>
    </row>
    <row r="25" spans="1:13" ht="24.9" customHeight="1" x14ac:dyDescent="0.3">
      <c r="A25" s="82" t="s">
        <v>171</v>
      </c>
      <c r="B25" s="80"/>
      <c r="C25" s="80"/>
      <c r="D25" s="80"/>
      <c r="E25" s="83"/>
      <c r="F25" s="343" t="e">
        <f>-$G$9</f>
        <v>#REF!</v>
      </c>
      <c r="G25" s="343" t="e">
        <f t="shared" ref="G25" si="2">-$G$9</f>
        <v>#REF!</v>
      </c>
      <c r="L25" s="91" t="s">
        <v>183</v>
      </c>
    </row>
    <row r="26" spans="1:13" ht="24.9" customHeight="1" x14ac:dyDescent="0.3">
      <c r="A26" s="84" t="s">
        <v>173</v>
      </c>
      <c r="B26" s="80"/>
      <c r="C26" s="80"/>
      <c r="D26" s="80"/>
      <c r="E26" s="83"/>
      <c r="F26" s="93" t="e">
        <f>F24+F25</f>
        <v>#REF!</v>
      </c>
      <c r="G26" s="93" t="e">
        <f>G24+G25</f>
        <v>#REF!</v>
      </c>
    </row>
    <row r="27" spans="1:13" ht="24.9" customHeight="1" x14ac:dyDescent="0.3">
      <c r="A27" s="82" t="s">
        <v>172</v>
      </c>
      <c r="B27" s="80"/>
      <c r="C27" s="80"/>
      <c r="D27" s="80"/>
      <c r="E27" s="83"/>
      <c r="F27" s="89" t="e">
        <f>-F26*0.3</f>
        <v>#REF!</v>
      </c>
      <c r="G27" s="89" t="e">
        <f>-G26*0.3</f>
        <v>#REF!</v>
      </c>
    </row>
    <row r="28" spans="1:13" ht="24.9" customHeight="1" x14ac:dyDescent="0.3">
      <c r="A28" s="76" t="s">
        <v>130</v>
      </c>
      <c r="B28" s="77"/>
      <c r="C28" s="77"/>
      <c r="D28" s="77"/>
      <c r="E28" s="77"/>
      <c r="F28" s="93" t="e">
        <f>F26+F27</f>
        <v>#REF!</v>
      </c>
      <c r="G28" s="93" t="e">
        <f>G26+G27</f>
        <v>#REF!</v>
      </c>
      <c r="L28" s="86" t="s">
        <v>184</v>
      </c>
    </row>
    <row r="29" spans="1:13" x14ac:dyDescent="0.3">
      <c r="L29" s="85" t="s">
        <v>206</v>
      </c>
      <c r="M29" s="85">
        <v>0.2</v>
      </c>
    </row>
    <row r="30" spans="1:13" x14ac:dyDescent="0.3">
      <c r="A30" s="71" t="s">
        <v>403</v>
      </c>
      <c r="L30" s="85" t="s">
        <v>207</v>
      </c>
      <c r="M30" s="85">
        <v>0.2</v>
      </c>
    </row>
    <row r="31" spans="1:13" x14ac:dyDescent="0.3">
      <c r="A31" s="71" t="s">
        <v>205</v>
      </c>
      <c r="L31" s="91" t="s">
        <v>186</v>
      </c>
    </row>
    <row r="32" spans="1:13" ht="20.100000000000001" customHeight="1" x14ac:dyDescent="0.3">
      <c r="A32" s="94" t="s">
        <v>180</v>
      </c>
      <c r="B32" s="94"/>
      <c r="C32" s="94"/>
      <c r="D32" s="94"/>
      <c r="E32" s="94"/>
      <c r="F32" s="94"/>
      <c r="G32" s="94"/>
      <c r="H32" s="94"/>
      <c r="L32" s="91" t="s">
        <v>187</v>
      </c>
    </row>
    <row r="33" spans="1:13" ht="20.100000000000001" customHeight="1" x14ac:dyDescent="0.3">
      <c r="A33" s="94" t="s">
        <v>181</v>
      </c>
      <c r="B33" s="94"/>
      <c r="C33" s="94"/>
      <c r="D33" s="94"/>
      <c r="E33" s="94"/>
      <c r="F33" s="94"/>
      <c r="G33" s="94"/>
      <c r="H33" s="94"/>
    </row>
    <row r="34" spans="1:13" ht="20.100000000000001" customHeight="1" x14ac:dyDescent="0.3">
      <c r="A34" s="95" t="s">
        <v>406</v>
      </c>
      <c r="B34" s="95"/>
      <c r="C34" s="95"/>
      <c r="D34" s="95"/>
      <c r="E34" s="95"/>
      <c r="F34" s="95"/>
      <c r="G34" s="95"/>
      <c r="H34" s="95"/>
      <c r="L34" s="86" t="s">
        <v>43</v>
      </c>
      <c r="M34" s="96">
        <f>SUM(M21:M33)</f>
        <v>1</v>
      </c>
    </row>
    <row r="35" spans="1:13" ht="20.100000000000001" customHeight="1" x14ac:dyDescent="0.3">
      <c r="A35" s="95" t="s">
        <v>407</v>
      </c>
      <c r="B35" s="95"/>
      <c r="C35" s="95"/>
      <c r="D35" s="95"/>
      <c r="E35" s="95"/>
      <c r="F35" s="95"/>
      <c r="G35" s="95"/>
      <c r="H35" s="95"/>
    </row>
    <row r="36" spans="1:13" ht="20.100000000000001" customHeight="1" x14ac:dyDescent="0.3">
      <c r="A36" s="95" t="s">
        <v>408</v>
      </c>
      <c r="B36" s="95"/>
      <c r="C36" s="95"/>
      <c r="D36" s="95"/>
      <c r="E36" s="95"/>
      <c r="F36" s="95"/>
      <c r="G36" s="95"/>
      <c r="H36" s="95"/>
    </row>
    <row r="37" spans="1:13" ht="20.100000000000001" customHeight="1" x14ac:dyDescent="0.3">
      <c r="A37" s="95" t="s">
        <v>192</v>
      </c>
      <c r="B37" s="95"/>
      <c r="C37" s="95"/>
      <c r="D37" s="95"/>
      <c r="E37" s="95"/>
      <c r="F37" s="95"/>
      <c r="G37" s="95"/>
      <c r="H37" s="95"/>
    </row>
  </sheetData>
  <pageMargins left="0.511811024" right="0.52" top="0.78740157499999996" bottom="0.78740157499999996" header="0.31496062000000002" footer="0.31496062000000002"/>
  <pageSetup paperSize="9" scale="97" orientation="portrait" r:id="rId1"/>
  <headerFooter>
    <oddHeader>&amp;CProva Final</oddHeader>
    <oddFooter>&amp;L&amp;F&amp;C&amp;A&amp;R&amp;P/&amp;N</oddFooter>
  </headerFooter>
  <ignoredErrors>
    <ignoredError sqref="F27:G27"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N46"/>
  <sheetViews>
    <sheetView showGridLines="0" topLeftCell="A21" zoomScaleNormal="100" workbookViewId="0">
      <selection activeCell="A21" sqref="A21"/>
    </sheetView>
  </sheetViews>
  <sheetFormatPr defaultColWidth="9.109375" defaultRowHeight="15.6" x14ac:dyDescent="0.3"/>
  <cols>
    <col min="1" max="1" width="3.33203125" style="276" customWidth="1"/>
    <col min="2" max="2" width="27.109375" style="276" customWidth="1"/>
    <col min="3" max="3" width="9.44140625" style="276" bestFit="1" customWidth="1"/>
    <col min="4" max="4" width="20.109375" style="276" bestFit="1" customWidth="1"/>
    <col min="5" max="5" width="9.109375" style="276" customWidth="1"/>
    <col min="6" max="6" width="1.6640625" style="276" customWidth="1"/>
    <col min="7" max="7" width="34.5546875" style="276" bestFit="1" customWidth="1"/>
    <col min="8" max="8" width="9.44140625" style="276" customWidth="1"/>
    <col min="9" max="9" width="2.33203125" style="276" customWidth="1"/>
    <col min="10" max="10" width="9.109375" style="276" customWidth="1"/>
    <col min="11" max="11" width="4.109375" style="276" customWidth="1"/>
    <col min="12" max="16384" width="9.109375" style="276"/>
  </cols>
  <sheetData>
    <row r="1" spans="1:12" x14ac:dyDescent="0.3">
      <c r="A1" s="275" t="s">
        <v>323</v>
      </c>
      <c r="B1" s="275"/>
      <c r="F1" s="275"/>
      <c r="H1" s="97" t="s">
        <v>158</v>
      </c>
      <c r="L1" s="277"/>
    </row>
    <row r="2" spans="1:12" ht="28.5" customHeight="1" x14ac:dyDescent="0.3">
      <c r="A2" s="400" t="s">
        <v>328</v>
      </c>
      <c r="B2" s="400"/>
      <c r="C2" s="400"/>
      <c r="D2" s="400"/>
      <c r="E2" s="400"/>
      <c r="F2" s="400"/>
      <c r="G2" s="400"/>
      <c r="H2" s="400"/>
      <c r="I2" s="318"/>
    </row>
    <row r="3" spans="1:12" ht="23.25" customHeight="1" x14ac:dyDescent="0.3">
      <c r="A3" s="400"/>
      <c r="B3" s="400"/>
      <c r="C3" s="400"/>
      <c r="D3" s="400"/>
      <c r="E3" s="400"/>
      <c r="F3" s="400"/>
      <c r="G3" s="400"/>
      <c r="H3" s="400"/>
      <c r="I3" s="318"/>
    </row>
    <row r="4" spans="1:12" ht="4.5" customHeight="1" x14ac:dyDescent="0.3">
      <c r="A4" s="278"/>
      <c r="B4" s="278"/>
      <c r="C4" s="278"/>
      <c r="D4" s="278"/>
      <c r="E4" s="278"/>
      <c r="F4" s="278"/>
      <c r="G4" s="278"/>
      <c r="H4" s="278"/>
      <c r="I4" s="278"/>
    </row>
    <row r="5" spans="1:12" x14ac:dyDescent="0.3">
      <c r="A5" s="404" t="s">
        <v>329</v>
      </c>
      <c r="B5" s="404"/>
      <c r="C5" s="404"/>
      <c r="D5" s="404"/>
      <c r="E5" s="404"/>
      <c r="F5" s="404"/>
      <c r="G5" s="404"/>
      <c r="H5" s="404"/>
    </row>
    <row r="6" spans="1:12" x14ac:dyDescent="0.3">
      <c r="A6" s="404"/>
      <c r="B6" s="404"/>
      <c r="C6" s="404"/>
      <c r="D6" s="404"/>
      <c r="E6" s="404"/>
      <c r="F6" s="404"/>
      <c r="G6" s="404"/>
      <c r="H6" s="404"/>
    </row>
    <row r="7" spans="1:12" ht="16.2" thickBot="1" x14ac:dyDescent="0.35"/>
    <row r="8" spans="1:12" ht="16.2" thickTop="1" x14ac:dyDescent="0.3">
      <c r="B8" s="401" t="s">
        <v>306</v>
      </c>
      <c r="C8" s="402"/>
      <c r="D8" s="402"/>
      <c r="E8" s="403"/>
      <c r="F8" s="279"/>
      <c r="G8" s="401" t="s">
        <v>307</v>
      </c>
      <c r="H8" s="403"/>
    </row>
    <row r="9" spans="1:12" x14ac:dyDescent="0.3">
      <c r="B9" s="280" t="s">
        <v>308</v>
      </c>
      <c r="C9" s="281"/>
      <c r="D9" s="282" t="s">
        <v>2</v>
      </c>
      <c r="E9" s="283"/>
      <c r="F9" s="284"/>
      <c r="G9" s="285" t="s">
        <v>117</v>
      </c>
      <c r="H9" s="283" t="e">
        <f>18000*#REF!</f>
        <v>#REF!</v>
      </c>
    </row>
    <row r="10" spans="1:12" x14ac:dyDescent="0.3">
      <c r="B10" s="286" t="s">
        <v>41</v>
      </c>
      <c r="C10" s="281" t="e">
        <f>1500*#REF!</f>
        <v>#REF!</v>
      </c>
      <c r="D10" s="287" t="s">
        <v>309</v>
      </c>
      <c r="E10" s="283" t="e">
        <f>3000*#REF!</f>
        <v>#REF!</v>
      </c>
      <c r="F10" s="284"/>
      <c r="G10" s="285" t="s">
        <v>310</v>
      </c>
      <c r="H10" s="283" t="e">
        <f>-H9*60%</f>
        <v>#REF!</v>
      </c>
    </row>
    <row r="11" spans="1:12" x14ac:dyDescent="0.3">
      <c r="B11" s="286" t="s">
        <v>5</v>
      </c>
      <c r="C11" s="281" t="e">
        <f>3500*#REF!</f>
        <v>#REF!</v>
      </c>
      <c r="D11" s="282" t="s">
        <v>16</v>
      </c>
      <c r="E11" s="283"/>
      <c r="F11" s="284"/>
      <c r="G11" s="288" t="s">
        <v>44</v>
      </c>
      <c r="H11" s="289" t="e">
        <f>H9+H10</f>
        <v>#REF!</v>
      </c>
      <c r="L11" s="290"/>
    </row>
    <row r="12" spans="1:12" x14ac:dyDescent="0.3">
      <c r="B12" s="286" t="s">
        <v>330</v>
      </c>
      <c r="C12" s="291" t="e">
        <f>E20*70%</f>
        <v>#REF!</v>
      </c>
      <c r="D12" s="287" t="s">
        <v>16</v>
      </c>
      <c r="E12" s="283" t="e">
        <f>17000*#REF!</f>
        <v>#REF!</v>
      </c>
      <c r="F12" s="284"/>
      <c r="G12" s="285" t="s">
        <v>311</v>
      </c>
      <c r="H12" s="283" t="e">
        <f>-H9*15%</f>
        <v>#REF!</v>
      </c>
      <c r="I12" s="290"/>
      <c r="J12" s="290"/>
    </row>
    <row r="13" spans="1:12" x14ac:dyDescent="0.3">
      <c r="B13" s="286" t="s">
        <v>15</v>
      </c>
      <c r="C13" s="281" t="e">
        <f>8000*#REF!</f>
        <v>#REF!</v>
      </c>
      <c r="D13" s="292"/>
      <c r="E13" s="283"/>
      <c r="F13" s="284"/>
      <c r="G13" s="285" t="s">
        <v>319</v>
      </c>
      <c r="H13" s="293" t="e">
        <f>H21*70%</f>
        <v>#REF!</v>
      </c>
    </row>
    <row r="14" spans="1:12" ht="16.2" thickBot="1" x14ac:dyDescent="0.35">
      <c r="B14" s="294" t="s">
        <v>312</v>
      </c>
      <c r="C14" s="295" t="e">
        <f>SUM(C10:C13)</f>
        <v>#REF!</v>
      </c>
      <c r="D14" s="296" t="s">
        <v>313</v>
      </c>
      <c r="E14" s="297" t="e">
        <f>SUM(E10:E13)</f>
        <v>#REF!</v>
      </c>
      <c r="F14" s="298"/>
      <c r="G14" s="299" t="s">
        <v>130</v>
      </c>
      <c r="H14" s="297" t="e">
        <f>SUM(H11:H13)</f>
        <v>#REF!</v>
      </c>
    </row>
    <row r="15" spans="1:12" ht="16.8" thickTop="1" thickBot="1" x14ac:dyDescent="0.35">
      <c r="L15" s="300"/>
    </row>
    <row r="16" spans="1:12" ht="16.2" thickTop="1" x14ac:dyDescent="0.3">
      <c r="B16" s="401" t="s">
        <v>325</v>
      </c>
      <c r="C16" s="402"/>
      <c r="D16" s="402"/>
      <c r="E16" s="403"/>
      <c r="F16" s="279"/>
      <c r="G16" s="401" t="s">
        <v>326</v>
      </c>
      <c r="H16" s="403"/>
      <c r="L16" s="300"/>
    </row>
    <row r="17" spans="2:14" x14ac:dyDescent="0.3">
      <c r="B17" s="280" t="s">
        <v>308</v>
      </c>
      <c r="C17" s="281"/>
      <c r="D17" s="282" t="s">
        <v>2</v>
      </c>
      <c r="E17" s="283"/>
      <c r="F17" s="284"/>
      <c r="G17" s="285" t="s">
        <v>117</v>
      </c>
      <c r="H17" s="283" t="e">
        <f>15000*#REF!</f>
        <v>#REF!</v>
      </c>
      <c r="L17" s="300"/>
    </row>
    <row r="18" spans="2:14" x14ac:dyDescent="0.3">
      <c r="B18" s="286" t="s">
        <v>41</v>
      </c>
      <c r="C18" s="281" t="e">
        <f>1900*#REF!</f>
        <v>#REF!</v>
      </c>
      <c r="D18" s="287" t="s">
        <v>309</v>
      </c>
      <c r="E18" s="283" t="e">
        <f>1600*#REF!</f>
        <v>#REF!</v>
      </c>
      <c r="F18" s="284"/>
      <c r="G18" s="285" t="s">
        <v>310</v>
      </c>
      <c r="H18" s="283" t="e">
        <f>-H17*60%</f>
        <v>#REF!</v>
      </c>
    </row>
    <row r="19" spans="2:14" x14ac:dyDescent="0.3">
      <c r="B19" s="286" t="s">
        <v>5</v>
      </c>
      <c r="C19" s="281" t="e">
        <f>2300*#REF!</f>
        <v>#REF!</v>
      </c>
      <c r="D19" s="282" t="s">
        <v>16</v>
      </c>
      <c r="E19" s="283"/>
      <c r="F19" s="284"/>
      <c r="G19" s="288" t="s">
        <v>44</v>
      </c>
      <c r="H19" s="289" t="e">
        <f>H17+H18</f>
        <v>#REF!</v>
      </c>
    </row>
    <row r="20" spans="2:14" x14ac:dyDescent="0.3">
      <c r="B20" s="286" t="s">
        <v>15</v>
      </c>
      <c r="C20" s="281" t="e">
        <f>7400*#REF!</f>
        <v>#REF!</v>
      </c>
      <c r="D20" s="287" t="s">
        <v>16</v>
      </c>
      <c r="E20" s="293" t="e">
        <f>10000*#REF!</f>
        <v>#REF!</v>
      </c>
      <c r="F20" s="284"/>
      <c r="G20" s="285" t="s">
        <v>311</v>
      </c>
      <c r="H20" s="283">
        <v>-2000</v>
      </c>
    </row>
    <row r="21" spans="2:14" ht="16.2" thickBot="1" x14ac:dyDescent="0.35">
      <c r="B21" s="294" t="s">
        <v>312</v>
      </c>
      <c r="C21" s="295" t="e">
        <f>SUM(C18:C20)</f>
        <v>#REF!</v>
      </c>
      <c r="D21" s="296" t="s">
        <v>313</v>
      </c>
      <c r="E21" s="297" t="e">
        <f>SUM(E18:E20)</f>
        <v>#REF!</v>
      </c>
      <c r="F21" s="298"/>
      <c r="G21" s="299" t="s">
        <v>130</v>
      </c>
      <c r="H21" s="297" t="e">
        <f>SUM(H19:H20)</f>
        <v>#REF!</v>
      </c>
    </row>
    <row r="22" spans="2:14" ht="12.75" customHeight="1" thickTop="1" thickBot="1" x14ac:dyDescent="0.35"/>
    <row r="23" spans="2:14" s="301" customFormat="1" ht="26.25" customHeight="1" thickTop="1" thickBot="1" x14ac:dyDescent="0.35">
      <c r="E23" s="302" t="s">
        <v>314</v>
      </c>
      <c r="G23" s="303" t="e">
        <f>+C14+C21-C12</f>
        <v>#REF!</v>
      </c>
      <c r="L23" s="309" t="s">
        <v>179</v>
      </c>
      <c r="M23" s="276"/>
      <c r="N23" s="276"/>
    </row>
    <row r="24" spans="2:14" ht="10.5" customHeight="1" thickTop="1" thickBot="1" x14ac:dyDescent="0.35">
      <c r="G24" s="305"/>
    </row>
    <row r="25" spans="2:14" s="301" customFormat="1" ht="25.5" customHeight="1" thickTop="1" thickBot="1" x14ac:dyDescent="0.35">
      <c r="E25" s="302" t="s">
        <v>315</v>
      </c>
      <c r="G25" s="303">
        <v>0</v>
      </c>
      <c r="L25" s="300">
        <v>5</v>
      </c>
      <c r="M25" s="312">
        <f>1/L25</f>
        <v>0.2</v>
      </c>
      <c r="N25" s="300" t="s">
        <v>327</v>
      </c>
    </row>
    <row r="26" spans="2:14" ht="9.75" customHeight="1" thickTop="1" thickBot="1" x14ac:dyDescent="0.35">
      <c r="G26" s="305"/>
    </row>
    <row r="27" spans="2:14" s="301" customFormat="1" ht="26.25" customHeight="1" thickTop="1" thickBot="1" x14ac:dyDescent="0.35">
      <c r="E27" s="302" t="s">
        <v>316</v>
      </c>
      <c r="G27" s="303" t="e">
        <f>H14+H21*0.3</f>
        <v>#REF!</v>
      </c>
    </row>
    <row r="28" spans="2:14" ht="10.5" customHeight="1" thickTop="1" thickBot="1" x14ac:dyDescent="0.35">
      <c r="G28" s="305"/>
    </row>
    <row r="29" spans="2:14" s="301" customFormat="1" ht="26.25" customHeight="1" thickTop="1" thickBot="1" x14ac:dyDescent="0.35">
      <c r="E29" s="302" t="s">
        <v>317</v>
      </c>
      <c r="G29" s="303" t="e">
        <f>E12</f>
        <v>#REF!</v>
      </c>
      <c r="L29" s="304"/>
    </row>
    <row r="30" spans="2:14" ht="9" customHeight="1" thickTop="1" thickBot="1" x14ac:dyDescent="0.35">
      <c r="G30" s="305"/>
    </row>
    <row r="31" spans="2:14" s="301" customFormat="1" ht="25.5" customHeight="1" thickTop="1" thickBot="1" x14ac:dyDescent="0.35">
      <c r="E31" s="302" t="s">
        <v>318</v>
      </c>
      <c r="G31" s="303" t="e">
        <f>E20*0.3</f>
        <v>#REF!</v>
      </c>
    </row>
    <row r="32" spans="2:14" ht="16.2" thickTop="1" x14ac:dyDescent="0.3">
      <c r="G32" s="305"/>
    </row>
    <row r="33" spans="2:9" x14ac:dyDescent="0.3">
      <c r="B33" s="306" t="s">
        <v>117</v>
      </c>
      <c r="D33" s="307" t="e">
        <f>H17+H9</f>
        <v>#REF!</v>
      </c>
      <c r="E33" s="308"/>
    </row>
    <row r="34" spans="2:9" x14ac:dyDescent="0.3">
      <c r="B34" s="306" t="s">
        <v>310</v>
      </c>
      <c r="D34" s="307" t="e">
        <f>H18+H10</f>
        <v>#REF!</v>
      </c>
      <c r="E34" s="308"/>
    </row>
    <row r="35" spans="2:9" x14ac:dyDescent="0.3">
      <c r="B35" s="310" t="s">
        <v>44</v>
      </c>
      <c r="D35" s="311" t="e">
        <f>D33+D34</f>
        <v>#REF!</v>
      </c>
      <c r="E35" s="308"/>
      <c r="I35" s="300"/>
    </row>
    <row r="36" spans="2:9" x14ac:dyDescent="0.3">
      <c r="B36" s="306" t="s">
        <v>311</v>
      </c>
      <c r="D36" s="307" t="e">
        <f>H12+H20</f>
        <v>#REF!</v>
      </c>
      <c r="E36" s="308"/>
    </row>
    <row r="37" spans="2:9" x14ac:dyDescent="0.3">
      <c r="B37" s="306" t="s">
        <v>319</v>
      </c>
      <c r="D37" s="313"/>
      <c r="E37" s="308"/>
    </row>
    <row r="38" spans="2:9" x14ac:dyDescent="0.3">
      <c r="B38" s="310" t="s">
        <v>130</v>
      </c>
      <c r="D38" s="311" t="e">
        <f>SUM(D35:D37)</f>
        <v>#REF!</v>
      </c>
      <c r="E38" s="308"/>
    </row>
    <row r="39" spans="2:9" x14ac:dyDescent="0.3">
      <c r="B39" s="308"/>
      <c r="C39" s="308"/>
      <c r="D39" s="308"/>
      <c r="E39" s="308"/>
    </row>
    <row r="40" spans="2:9" x14ac:dyDescent="0.3">
      <c r="B40" s="314" t="s">
        <v>308</v>
      </c>
      <c r="C40" s="307"/>
      <c r="D40" s="314" t="s">
        <v>320</v>
      </c>
      <c r="E40" s="307"/>
    </row>
    <row r="41" spans="2:9" x14ac:dyDescent="0.3">
      <c r="B41" s="315" t="s">
        <v>41</v>
      </c>
      <c r="C41" s="307" t="e">
        <f>C10+C18</f>
        <v>#REF!</v>
      </c>
      <c r="D41" s="315" t="s">
        <v>309</v>
      </c>
      <c r="E41" s="307" t="e">
        <f>E10+E18</f>
        <v>#REF!</v>
      </c>
    </row>
    <row r="42" spans="2:9" x14ac:dyDescent="0.3">
      <c r="B42" s="315" t="s">
        <v>5</v>
      </c>
      <c r="C42" s="307" t="e">
        <f>C11+C19</f>
        <v>#REF!</v>
      </c>
    </row>
    <row r="43" spans="2:9" x14ac:dyDescent="0.3">
      <c r="B43" s="315" t="s">
        <v>321</v>
      </c>
      <c r="C43" s="307"/>
      <c r="D43" s="314" t="s">
        <v>16</v>
      </c>
      <c r="E43" s="307"/>
    </row>
    <row r="44" spans="2:9" x14ac:dyDescent="0.3">
      <c r="B44" s="315" t="s">
        <v>15</v>
      </c>
      <c r="C44" s="307" t="e">
        <f>C13+C20</f>
        <v>#REF!</v>
      </c>
      <c r="D44" s="315" t="s">
        <v>16</v>
      </c>
      <c r="E44" s="307" t="e">
        <f>E12</f>
        <v>#REF!</v>
      </c>
      <c r="I44" s="316">
        <f>L25*M25</f>
        <v>1</v>
      </c>
    </row>
    <row r="45" spans="2:9" x14ac:dyDescent="0.3">
      <c r="D45" s="315" t="s">
        <v>322</v>
      </c>
      <c r="E45" s="317" t="e">
        <f>E20*0.3</f>
        <v>#REF!</v>
      </c>
    </row>
    <row r="46" spans="2:9" x14ac:dyDescent="0.3">
      <c r="B46" s="314" t="s">
        <v>312</v>
      </c>
      <c r="C46" s="311" t="e">
        <f>SUM(C41:C44)</f>
        <v>#REF!</v>
      </c>
      <c r="D46" s="314" t="s">
        <v>313</v>
      </c>
      <c r="E46" s="311" t="e">
        <f>SUM(E41:E45)</f>
        <v>#REF!</v>
      </c>
    </row>
  </sheetData>
  <mergeCells count="6">
    <mergeCell ref="A2:H3"/>
    <mergeCell ref="B8:E8"/>
    <mergeCell ref="G8:H8"/>
    <mergeCell ref="B16:E16"/>
    <mergeCell ref="G16:H16"/>
    <mergeCell ref="A5:H6"/>
  </mergeCells>
  <printOptions horizontalCentered="1"/>
  <pageMargins left="0" right="0" top="0.78740157480314965" bottom="0.78740157480314965" header="0.31496062992125984" footer="0.31496062992125984"/>
  <pageSetup paperSize="9" scale="94" orientation="landscape" r:id="rId1"/>
  <headerFooter>
    <oddHeader>&amp;CProva Final</oddHeader>
    <oddFooter>&amp;L&amp;8&amp;F&amp;C&amp;8&amp;A&amp;R&amp;P/&amp;N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J91"/>
  <sheetViews>
    <sheetView showGridLines="0" zoomScale="90" zoomScaleNormal="90" workbookViewId="0"/>
  </sheetViews>
  <sheetFormatPr defaultColWidth="12.44140625" defaultRowHeight="15.6" x14ac:dyDescent="0.3"/>
  <cols>
    <col min="1" max="1" width="5" style="327" customWidth="1"/>
    <col min="2" max="3" width="12.109375" style="327" bestFit="1" customWidth="1"/>
    <col min="4" max="4" width="3.44140625" style="327" customWidth="1"/>
    <col min="5" max="5" width="41" style="327" customWidth="1"/>
    <col min="6" max="6" width="11.44140625" style="327" bestFit="1" customWidth="1"/>
    <col min="7" max="7" width="13.44140625" style="327" customWidth="1"/>
    <col min="8" max="8" width="3.5546875" style="327" bestFit="1" customWidth="1"/>
    <col min="9" max="9" width="5" style="327" customWidth="1"/>
    <col min="10" max="11" width="12.109375" style="327" bestFit="1" customWidth="1"/>
    <col min="12" max="12" width="3.44140625" style="327" customWidth="1"/>
    <col min="13" max="13" width="41" style="327" customWidth="1"/>
    <col min="14" max="14" width="11.44140625" style="327" bestFit="1" customWidth="1"/>
    <col min="15" max="15" width="12.109375" style="327" bestFit="1" customWidth="1"/>
    <col min="16" max="16" width="3.5546875" style="327" bestFit="1" customWidth="1"/>
    <col min="17" max="17" width="5" style="327" customWidth="1"/>
    <col min="18" max="19" width="12.109375" style="327" bestFit="1" customWidth="1"/>
    <col min="20" max="20" width="3.44140625" style="327" customWidth="1"/>
    <col min="21" max="21" width="41" style="327" customWidth="1"/>
    <col min="22" max="22" width="11.44140625" style="327" bestFit="1" customWidth="1"/>
    <col min="23" max="23" width="12.109375" style="327" bestFit="1" customWidth="1"/>
    <col min="24" max="24" width="3.5546875" style="327" bestFit="1" customWidth="1"/>
    <col min="25" max="25" width="5" style="327" customWidth="1"/>
    <col min="26" max="27" width="12.109375" style="327" bestFit="1" customWidth="1"/>
    <col min="28" max="28" width="3.44140625" style="327" customWidth="1"/>
    <col min="29" max="29" width="41" style="327" customWidth="1"/>
    <col min="30" max="30" width="11.44140625" style="327" bestFit="1" customWidth="1"/>
    <col min="31" max="31" width="12.109375" style="327" bestFit="1" customWidth="1"/>
    <col min="32" max="32" width="10.88671875" style="327" bestFit="1" customWidth="1"/>
    <col min="33" max="34" width="12.44140625" style="327"/>
    <col min="35" max="36" width="12.44140625" style="327" customWidth="1"/>
    <col min="37" max="16384" width="12.44140625" style="327"/>
  </cols>
  <sheetData>
    <row r="1" spans="1:36" x14ac:dyDescent="0.3">
      <c r="A1" s="326" t="s">
        <v>331</v>
      </c>
      <c r="G1" s="97" t="s">
        <v>76</v>
      </c>
      <c r="I1" s="326" t="s">
        <v>331</v>
      </c>
      <c r="O1" s="97" t="s">
        <v>76</v>
      </c>
      <c r="Q1" s="326" t="s">
        <v>331</v>
      </c>
      <c r="W1" s="97" t="s">
        <v>76</v>
      </c>
      <c r="Y1" s="326" t="s">
        <v>331</v>
      </c>
      <c r="AE1" s="97" t="s">
        <v>76</v>
      </c>
      <c r="AI1" s="329"/>
      <c r="AJ1" s="330"/>
    </row>
    <row r="2" spans="1:36" s="331" customFormat="1" x14ac:dyDescent="0.3">
      <c r="A2" s="327"/>
      <c r="G2" s="328" t="s">
        <v>99</v>
      </c>
      <c r="I2" s="327"/>
      <c r="O2" s="328" t="s">
        <v>100</v>
      </c>
      <c r="Q2" s="327"/>
      <c r="W2" s="328" t="s">
        <v>101</v>
      </c>
      <c r="Y2" s="327"/>
      <c r="AE2" s="328" t="s">
        <v>157</v>
      </c>
      <c r="AG2" s="341" t="s">
        <v>179</v>
      </c>
    </row>
    <row r="3" spans="1:36" s="331" customFormat="1" x14ac:dyDescent="0.3">
      <c r="A3" s="327" t="s">
        <v>332</v>
      </c>
      <c r="D3" s="327"/>
      <c r="E3" s="327"/>
      <c r="F3" s="327"/>
      <c r="G3" s="327"/>
      <c r="I3" s="327" t="s">
        <v>332</v>
      </c>
      <c r="L3" s="327"/>
      <c r="M3" s="327"/>
      <c r="N3" s="327"/>
      <c r="O3" s="327"/>
      <c r="Q3" s="327" t="s">
        <v>332</v>
      </c>
      <c r="T3" s="327"/>
      <c r="U3" s="327"/>
      <c r="V3" s="327"/>
      <c r="W3" s="327"/>
      <c r="Y3" s="327" t="s">
        <v>332</v>
      </c>
      <c r="AB3" s="327"/>
      <c r="AC3" s="327"/>
      <c r="AD3" s="327"/>
      <c r="AE3" s="327"/>
      <c r="AG3" s="342">
        <v>0.2</v>
      </c>
      <c r="AH3" s="342" t="s">
        <v>393</v>
      </c>
    </row>
    <row r="4" spans="1:36" x14ac:dyDescent="0.3">
      <c r="A4" s="331"/>
      <c r="B4" s="331"/>
      <c r="C4" s="331"/>
      <c r="I4" s="331"/>
      <c r="J4" s="331"/>
      <c r="K4" s="331"/>
      <c r="Q4" s="331"/>
      <c r="R4" s="331"/>
      <c r="S4" s="331"/>
      <c r="Y4" s="331"/>
      <c r="Z4" s="331"/>
      <c r="AA4" s="331"/>
    </row>
    <row r="5" spans="1:36" ht="34.5" customHeight="1" x14ac:dyDescent="0.3">
      <c r="A5" s="335" t="s">
        <v>353</v>
      </c>
      <c r="B5" s="406" t="s">
        <v>354</v>
      </c>
      <c r="C5" s="406"/>
      <c r="D5" s="406"/>
      <c r="E5" s="406"/>
      <c r="F5" s="406"/>
      <c r="G5" s="406"/>
      <c r="I5" s="335" t="s">
        <v>353</v>
      </c>
      <c r="J5" s="405" t="s">
        <v>388</v>
      </c>
      <c r="K5" s="405"/>
      <c r="L5" s="405"/>
      <c r="M5" s="405"/>
      <c r="N5" s="405"/>
      <c r="O5" s="405"/>
      <c r="Q5" s="335" t="s">
        <v>353</v>
      </c>
      <c r="R5" s="405" t="s">
        <v>385</v>
      </c>
      <c r="S5" s="405"/>
      <c r="T5" s="405"/>
      <c r="U5" s="405"/>
      <c r="V5" s="405"/>
      <c r="W5" s="405"/>
      <c r="Y5" s="338" t="s">
        <v>353</v>
      </c>
      <c r="Z5" s="405" t="s">
        <v>359</v>
      </c>
      <c r="AA5" s="405"/>
      <c r="AB5" s="405"/>
      <c r="AC5" s="405"/>
      <c r="AD5" s="405"/>
      <c r="AE5" s="405"/>
    </row>
    <row r="6" spans="1:36" ht="15.9" customHeight="1" x14ac:dyDescent="0.3">
      <c r="A6" s="331"/>
      <c r="B6" s="331"/>
      <c r="C6" s="331"/>
      <c r="I6" s="331"/>
      <c r="J6" s="331"/>
      <c r="K6" s="331"/>
      <c r="Q6" s="331"/>
      <c r="R6" s="331"/>
      <c r="S6" s="331"/>
      <c r="Y6" s="331"/>
      <c r="Z6" s="331"/>
      <c r="AA6" s="331"/>
    </row>
    <row r="7" spans="1:36" ht="20.100000000000001" customHeight="1" x14ac:dyDescent="0.3">
      <c r="A7" s="336" t="s">
        <v>355</v>
      </c>
      <c r="B7" s="332" t="s">
        <v>364</v>
      </c>
      <c r="C7" s="331"/>
      <c r="I7" s="337" t="s">
        <v>355</v>
      </c>
      <c r="J7" s="332" t="s">
        <v>369</v>
      </c>
      <c r="K7" s="331"/>
      <c r="Q7" s="336" t="s">
        <v>355</v>
      </c>
      <c r="R7" s="332" t="s">
        <v>391</v>
      </c>
      <c r="S7" s="331"/>
      <c r="Y7" s="336" t="s">
        <v>355</v>
      </c>
      <c r="Z7" s="332" t="s">
        <v>386</v>
      </c>
      <c r="AA7" s="331"/>
    </row>
    <row r="8" spans="1:36" ht="20.100000000000001" customHeight="1" x14ac:dyDescent="0.3">
      <c r="A8" s="331" t="s">
        <v>356</v>
      </c>
      <c r="B8" s="332" t="s">
        <v>363</v>
      </c>
      <c r="C8" s="331"/>
      <c r="I8" s="336" t="s">
        <v>356</v>
      </c>
      <c r="J8" s="332" t="s">
        <v>370</v>
      </c>
      <c r="K8" s="331"/>
      <c r="Q8" s="337" t="s">
        <v>356</v>
      </c>
      <c r="R8" s="332" t="s">
        <v>392</v>
      </c>
      <c r="S8" s="331"/>
      <c r="Y8" s="331" t="s">
        <v>356</v>
      </c>
      <c r="Z8" s="332" t="s">
        <v>387</v>
      </c>
      <c r="AA8" s="331"/>
    </row>
    <row r="9" spans="1:36" ht="20.100000000000001" customHeight="1" x14ac:dyDescent="0.3">
      <c r="A9" s="331" t="s">
        <v>357</v>
      </c>
      <c r="B9" s="332" t="s">
        <v>362</v>
      </c>
      <c r="C9" s="331"/>
      <c r="I9" s="331" t="s">
        <v>357</v>
      </c>
      <c r="J9" s="332" t="s">
        <v>362</v>
      </c>
      <c r="K9" s="331"/>
      <c r="Q9" s="337" t="s">
        <v>357</v>
      </c>
      <c r="R9" s="332" t="s">
        <v>362</v>
      </c>
      <c r="S9" s="331"/>
      <c r="Y9" s="331" t="s">
        <v>357</v>
      </c>
      <c r="Z9" s="332" t="s">
        <v>362</v>
      </c>
      <c r="AA9" s="331"/>
    </row>
    <row r="10" spans="1:36" ht="15.9" customHeight="1" x14ac:dyDescent="0.3">
      <c r="A10" s="331"/>
      <c r="B10" s="331"/>
      <c r="C10" s="331"/>
      <c r="I10" s="331"/>
      <c r="J10" s="331"/>
      <c r="K10" s="331"/>
      <c r="Q10" s="331"/>
      <c r="R10" s="331"/>
      <c r="S10" s="331"/>
      <c r="Y10" s="331"/>
      <c r="Z10" s="331"/>
      <c r="AA10" s="331"/>
    </row>
    <row r="11" spans="1:36" ht="15.9" customHeight="1" x14ac:dyDescent="0.3">
      <c r="A11" s="338" t="s">
        <v>358</v>
      </c>
      <c r="B11" s="406" t="s">
        <v>359</v>
      </c>
      <c r="C11" s="406"/>
      <c r="D11" s="406"/>
      <c r="E11" s="406"/>
      <c r="F11" s="406"/>
      <c r="G11" s="406"/>
      <c r="I11" s="335" t="s">
        <v>358</v>
      </c>
      <c r="J11" s="406" t="s">
        <v>390</v>
      </c>
      <c r="K11" s="406"/>
      <c r="L11" s="406"/>
      <c r="M11" s="406"/>
      <c r="N11" s="406"/>
      <c r="O11" s="406"/>
      <c r="Q11" s="335" t="s">
        <v>358</v>
      </c>
      <c r="R11" s="406" t="s">
        <v>381</v>
      </c>
      <c r="S11" s="406"/>
      <c r="T11" s="406"/>
      <c r="U11" s="406"/>
      <c r="V11" s="406"/>
      <c r="W11" s="406"/>
      <c r="Y11" s="338" t="s">
        <v>358</v>
      </c>
      <c r="Z11" s="406" t="s">
        <v>367</v>
      </c>
      <c r="AA11" s="406"/>
      <c r="AB11" s="406"/>
      <c r="AC11" s="406"/>
      <c r="AD11" s="406"/>
      <c r="AE11" s="406"/>
    </row>
    <row r="12" spans="1:36" ht="15.9" customHeight="1" x14ac:dyDescent="0.3">
      <c r="A12" s="331"/>
      <c r="B12" s="331"/>
      <c r="C12" s="331"/>
      <c r="I12" s="331"/>
      <c r="J12" s="331"/>
      <c r="K12" s="331"/>
      <c r="Q12" s="331"/>
      <c r="R12" s="331"/>
      <c r="S12" s="331"/>
      <c r="Y12" s="331"/>
      <c r="Z12" s="331"/>
      <c r="AA12" s="331"/>
    </row>
    <row r="13" spans="1:36" ht="20.100000000000001" customHeight="1" x14ac:dyDescent="0.3">
      <c r="A13" s="336" t="s">
        <v>355</v>
      </c>
      <c r="B13" s="332" t="s">
        <v>386</v>
      </c>
      <c r="C13" s="331"/>
      <c r="I13" s="337" t="s">
        <v>355</v>
      </c>
      <c r="J13" s="332" t="s">
        <v>375</v>
      </c>
      <c r="K13" s="331"/>
      <c r="Q13" s="337" t="s">
        <v>355</v>
      </c>
      <c r="R13" s="332" t="s">
        <v>382</v>
      </c>
      <c r="S13" s="331"/>
      <c r="Y13" s="336" t="s">
        <v>355</v>
      </c>
      <c r="Z13" s="332" t="s">
        <v>361</v>
      </c>
      <c r="AA13" s="331"/>
    </row>
    <row r="14" spans="1:36" ht="20.100000000000001" customHeight="1" x14ac:dyDescent="0.3">
      <c r="A14" s="331" t="s">
        <v>356</v>
      </c>
      <c r="B14" s="332" t="s">
        <v>387</v>
      </c>
      <c r="C14" s="331"/>
      <c r="I14" s="336" t="s">
        <v>356</v>
      </c>
      <c r="J14" s="332" t="s">
        <v>376</v>
      </c>
      <c r="K14" s="331"/>
      <c r="Q14" s="337" t="s">
        <v>356</v>
      </c>
      <c r="R14" s="332" t="s">
        <v>383</v>
      </c>
      <c r="S14" s="331"/>
      <c r="Y14" s="331" t="s">
        <v>356</v>
      </c>
      <c r="Z14" s="332" t="s">
        <v>365</v>
      </c>
      <c r="AA14" s="331"/>
    </row>
    <row r="15" spans="1:36" ht="20.100000000000001" customHeight="1" x14ac:dyDescent="0.3">
      <c r="A15" s="331" t="s">
        <v>357</v>
      </c>
      <c r="B15" s="332" t="s">
        <v>362</v>
      </c>
      <c r="C15" s="331"/>
      <c r="I15" s="331" t="s">
        <v>357</v>
      </c>
      <c r="J15" s="332" t="s">
        <v>362</v>
      </c>
      <c r="K15" s="331"/>
      <c r="Q15" s="336" t="s">
        <v>357</v>
      </c>
      <c r="R15" s="332" t="s">
        <v>362</v>
      </c>
      <c r="S15" s="331"/>
      <c r="Y15" s="331" t="s">
        <v>357</v>
      </c>
      <c r="Z15" s="332" t="s">
        <v>362</v>
      </c>
      <c r="AA15" s="331"/>
    </row>
    <row r="16" spans="1:36" ht="15.9" customHeight="1" x14ac:dyDescent="0.3">
      <c r="A16" s="331"/>
      <c r="B16" s="331"/>
      <c r="C16" s="331"/>
      <c r="Q16" s="331"/>
      <c r="R16" s="331"/>
      <c r="S16" s="331"/>
      <c r="Y16" s="331"/>
      <c r="Z16" s="331"/>
      <c r="AA16" s="331"/>
    </row>
    <row r="17" spans="1:31" ht="33" customHeight="1" x14ac:dyDescent="0.3">
      <c r="A17" s="338" t="s">
        <v>360</v>
      </c>
      <c r="B17" s="406" t="s">
        <v>367</v>
      </c>
      <c r="C17" s="406"/>
      <c r="D17" s="406"/>
      <c r="E17" s="406"/>
      <c r="F17" s="406"/>
      <c r="G17" s="406"/>
      <c r="I17" s="335" t="s">
        <v>360</v>
      </c>
      <c r="J17" s="406" t="s">
        <v>354</v>
      </c>
      <c r="K17" s="406"/>
      <c r="L17" s="406"/>
      <c r="M17" s="406"/>
      <c r="N17" s="406"/>
      <c r="O17" s="406"/>
      <c r="Q17" s="335" t="s">
        <v>360</v>
      </c>
      <c r="R17" s="406" t="s">
        <v>378</v>
      </c>
      <c r="S17" s="406"/>
      <c r="T17" s="406"/>
      <c r="U17" s="406"/>
      <c r="V17" s="406"/>
      <c r="W17" s="406"/>
      <c r="Y17" s="335" t="s">
        <v>360</v>
      </c>
      <c r="Z17" s="406" t="s">
        <v>354</v>
      </c>
      <c r="AA17" s="406"/>
      <c r="AB17" s="406"/>
      <c r="AC17" s="406"/>
      <c r="AD17" s="406"/>
      <c r="AE17" s="406"/>
    </row>
    <row r="18" spans="1:31" ht="15.9" customHeight="1" x14ac:dyDescent="0.3">
      <c r="A18" s="331"/>
      <c r="B18" s="331"/>
      <c r="C18" s="331"/>
      <c r="I18" s="331"/>
      <c r="J18" s="331"/>
      <c r="K18" s="331"/>
      <c r="Q18" s="331"/>
      <c r="R18" s="331"/>
      <c r="S18" s="331"/>
      <c r="Y18" s="331"/>
      <c r="Z18" s="331"/>
      <c r="AA18" s="331"/>
    </row>
    <row r="19" spans="1:31" ht="20.100000000000001" customHeight="1" x14ac:dyDescent="0.3">
      <c r="A19" s="336" t="s">
        <v>355</v>
      </c>
      <c r="B19" s="332" t="s">
        <v>361</v>
      </c>
      <c r="C19" s="331"/>
      <c r="I19" s="336" t="s">
        <v>355</v>
      </c>
      <c r="J19" s="332" t="s">
        <v>364</v>
      </c>
      <c r="K19" s="331"/>
      <c r="Q19" s="337" t="s">
        <v>355</v>
      </c>
      <c r="R19" s="332" t="s">
        <v>412</v>
      </c>
      <c r="S19" s="331"/>
      <c r="Y19" s="336" t="s">
        <v>355</v>
      </c>
      <c r="Z19" s="332" t="s">
        <v>364</v>
      </c>
      <c r="AA19" s="331"/>
    </row>
    <row r="20" spans="1:31" ht="20.100000000000001" customHeight="1" x14ac:dyDescent="0.3">
      <c r="A20" s="331" t="s">
        <v>356</v>
      </c>
      <c r="B20" s="332" t="s">
        <v>365</v>
      </c>
      <c r="C20" s="331"/>
      <c r="I20" s="331" t="s">
        <v>356</v>
      </c>
      <c r="J20" s="332" t="s">
        <v>363</v>
      </c>
      <c r="K20" s="331"/>
      <c r="Q20" s="336" t="s">
        <v>356</v>
      </c>
      <c r="R20" s="332" t="s">
        <v>413</v>
      </c>
      <c r="S20" s="331"/>
      <c r="Y20" s="331" t="s">
        <v>356</v>
      </c>
      <c r="Z20" s="332" t="s">
        <v>363</v>
      </c>
      <c r="AA20" s="331"/>
    </row>
    <row r="21" spans="1:31" ht="20.100000000000001" customHeight="1" x14ac:dyDescent="0.3">
      <c r="A21" s="331" t="s">
        <v>357</v>
      </c>
      <c r="B21" s="332" t="s">
        <v>362</v>
      </c>
      <c r="C21" s="331"/>
      <c r="I21" s="331" t="s">
        <v>357</v>
      </c>
      <c r="J21" s="332" t="s">
        <v>362</v>
      </c>
      <c r="K21" s="331"/>
      <c r="Q21" s="331" t="s">
        <v>357</v>
      </c>
      <c r="R21" s="332" t="s">
        <v>362</v>
      </c>
      <c r="S21" s="331"/>
      <c r="Y21" s="331" t="s">
        <v>357</v>
      </c>
      <c r="Z21" s="332" t="s">
        <v>362</v>
      </c>
      <c r="AA21" s="331"/>
    </row>
    <row r="22" spans="1:31" ht="15.9" customHeight="1" x14ac:dyDescent="0.3">
      <c r="A22" s="331"/>
      <c r="B22" s="331"/>
      <c r="C22" s="331"/>
      <c r="I22" s="331"/>
      <c r="J22" s="331"/>
      <c r="K22" s="331"/>
      <c r="Q22" s="331"/>
      <c r="R22" s="331"/>
      <c r="S22" s="331"/>
      <c r="Y22" s="331"/>
      <c r="Z22" s="331"/>
      <c r="AA22" s="331"/>
    </row>
    <row r="23" spans="1:31" ht="15.9" customHeight="1" x14ac:dyDescent="0.3">
      <c r="A23" s="335" t="s">
        <v>366</v>
      </c>
      <c r="B23" s="406" t="s">
        <v>409</v>
      </c>
      <c r="C23" s="406"/>
      <c r="D23" s="406"/>
      <c r="E23" s="406"/>
      <c r="F23" s="406"/>
      <c r="G23" s="406"/>
      <c r="I23" s="335" t="s">
        <v>366</v>
      </c>
      <c r="J23" s="406" t="s">
        <v>378</v>
      </c>
      <c r="K23" s="406"/>
      <c r="L23" s="406"/>
      <c r="M23" s="406"/>
      <c r="N23" s="406"/>
      <c r="O23" s="406"/>
      <c r="Q23" s="335" t="s">
        <v>366</v>
      </c>
      <c r="R23" s="406" t="s">
        <v>388</v>
      </c>
      <c r="S23" s="406"/>
      <c r="T23" s="406"/>
      <c r="U23" s="406"/>
      <c r="V23" s="406"/>
      <c r="W23" s="406"/>
      <c r="Y23" s="335" t="s">
        <v>366</v>
      </c>
      <c r="Z23" s="406" t="s">
        <v>390</v>
      </c>
      <c r="AA23" s="406"/>
      <c r="AB23" s="406"/>
      <c r="AC23" s="406"/>
      <c r="AD23" s="406"/>
      <c r="AE23" s="406"/>
    </row>
    <row r="24" spans="1:31" ht="15.9" customHeight="1" x14ac:dyDescent="0.3">
      <c r="A24" s="331"/>
      <c r="B24" s="331"/>
      <c r="C24" s="331"/>
      <c r="I24" s="331"/>
      <c r="J24" s="331"/>
      <c r="K24" s="331"/>
      <c r="Q24" s="331"/>
      <c r="R24" s="331"/>
      <c r="S24" s="331"/>
      <c r="Y24" s="331"/>
      <c r="Z24" s="331"/>
      <c r="AA24" s="331"/>
    </row>
    <row r="25" spans="1:31" ht="20.100000000000001" customHeight="1" x14ac:dyDescent="0.3">
      <c r="A25" s="336" t="s">
        <v>355</v>
      </c>
      <c r="B25" s="332" t="s">
        <v>414</v>
      </c>
      <c r="C25" s="331"/>
      <c r="I25" s="337" t="s">
        <v>355</v>
      </c>
      <c r="J25" s="332" t="s">
        <v>412</v>
      </c>
      <c r="K25" s="331"/>
      <c r="Q25" s="337" t="s">
        <v>355</v>
      </c>
      <c r="R25" s="332" t="s">
        <v>369</v>
      </c>
      <c r="S25" s="331"/>
      <c r="Y25" s="337" t="s">
        <v>355</v>
      </c>
      <c r="Z25" s="332" t="s">
        <v>375</v>
      </c>
      <c r="AA25" s="331"/>
    </row>
    <row r="26" spans="1:31" ht="20.100000000000001" customHeight="1" x14ac:dyDescent="0.3">
      <c r="A26" s="331" t="s">
        <v>356</v>
      </c>
      <c r="B26" s="332" t="s">
        <v>415</v>
      </c>
      <c r="C26" s="331"/>
      <c r="I26" s="336" t="s">
        <v>356</v>
      </c>
      <c r="J26" s="332" t="s">
        <v>413</v>
      </c>
      <c r="K26" s="331"/>
      <c r="Q26" s="336" t="s">
        <v>356</v>
      </c>
      <c r="R26" s="332" t="s">
        <v>370</v>
      </c>
      <c r="S26" s="331"/>
      <c r="Y26" s="336" t="s">
        <v>356</v>
      </c>
      <c r="Z26" s="332" t="s">
        <v>376</v>
      </c>
      <c r="AA26" s="331"/>
    </row>
    <row r="27" spans="1:31" ht="20.100000000000001" customHeight="1" x14ac:dyDescent="0.3">
      <c r="A27" s="331" t="s">
        <v>357</v>
      </c>
      <c r="B27" s="332" t="s">
        <v>362</v>
      </c>
      <c r="C27" s="331"/>
      <c r="I27" s="331" t="s">
        <v>357</v>
      </c>
      <c r="J27" s="332" t="s">
        <v>362</v>
      </c>
      <c r="K27" s="331"/>
      <c r="Q27" s="331" t="s">
        <v>357</v>
      </c>
      <c r="R27" s="332" t="s">
        <v>362</v>
      </c>
      <c r="S27" s="331"/>
      <c r="Y27" s="331" t="s">
        <v>357</v>
      </c>
      <c r="Z27" s="332" t="s">
        <v>362</v>
      </c>
      <c r="AA27" s="331"/>
    </row>
    <row r="28" spans="1:31" ht="15.9" customHeight="1" x14ac:dyDescent="0.3">
      <c r="A28" s="331"/>
      <c r="B28" s="331"/>
      <c r="C28" s="331"/>
      <c r="Q28" s="331"/>
      <c r="R28" s="331"/>
      <c r="S28" s="331"/>
      <c r="Y28" s="331"/>
      <c r="Z28" s="331"/>
      <c r="AA28" s="331"/>
    </row>
    <row r="29" spans="1:31" ht="15.9" customHeight="1" x14ac:dyDescent="0.3">
      <c r="A29" s="335" t="s">
        <v>368</v>
      </c>
      <c r="B29" s="406" t="s">
        <v>388</v>
      </c>
      <c r="C29" s="406"/>
      <c r="D29" s="406"/>
      <c r="E29" s="406"/>
      <c r="F29" s="406"/>
      <c r="G29" s="406"/>
      <c r="I29" s="335" t="s">
        <v>368</v>
      </c>
      <c r="J29" s="406" t="s">
        <v>409</v>
      </c>
      <c r="K29" s="406"/>
      <c r="L29" s="406"/>
      <c r="M29" s="406"/>
      <c r="N29" s="406"/>
      <c r="O29" s="406"/>
      <c r="Q29" s="335" t="s">
        <v>368</v>
      </c>
      <c r="R29" s="406" t="s">
        <v>390</v>
      </c>
      <c r="S29" s="406"/>
      <c r="T29" s="406"/>
      <c r="U29" s="406"/>
      <c r="V29" s="406"/>
      <c r="W29" s="406"/>
      <c r="Y29" s="335" t="s">
        <v>368</v>
      </c>
      <c r="Z29" s="406" t="s">
        <v>389</v>
      </c>
      <c r="AA29" s="406"/>
      <c r="AB29" s="406"/>
      <c r="AC29" s="406"/>
      <c r="AD29" s="406"/>
      <c r="AE29" s="406"/>
    </row>
    <row r="30" spans="1:31" ht="15.9" customHeight="1" x14ac:dyDescent="0.3">
      <c r="A30" s="331"/>
      <c r="B30" s="331"/>
      <c r="C30" s="331"/>
      <c r="I30" s="331"/>
      <c r="J30" s="331"/>
      <c r="K30" s="331"/>
      <c r="Q30" s="331"/>
      <c r="R30" s="331"/>
      <c r="S30" s="331"/>
      <c r="Y30" s="331"/>
      <c r="Z30" s="331"/>
      <c r="AA30" s="331"/>
    </row>
    <row r="31" spans="1:31" ht="20.100000000000001" customHeight="1" x14ac:dyDescent="0.3">
      <c r="A31" s="337" t="s">
        <v>355</v>
      </c>
      <c r="B31" s="332" t="s">
        <v>369</v>
      </c>
      <c r="C31" s="331"/>
      <c r="I31" s="336" t="s">
        <v>355</v>
      </c>
      <c r="J31" s="332" t="s">
        <v>414</v>
      </c>
      <c r="K31" s="331"/>
      <c r="Q31" s="337" t="s">
        <v>355</v>
      </c>
      <c r="R31" s="332" t="s">
        <v>375</v>
      </c>
      <c r="S31" s="331"/>
      <c r="Y31" s="331" t="s">
        <v>355</v>
      </c>
      <c r="Z31" s="332" t="s">
        <v>372</v>
      </c>
      <c r="AA31" s="331"/>
    </row>
    <row r="32" spans="1:31" ht="20.100000000000001" customHeight="1" x14ac:dyDescent="0.3">
      <c r="A32" s="336" t="s">
        <v>356</v>
      </c>
      <c r="B32" s="332" t="s">
        <v>370</v>
      </c>
      <c r="C32" s="331"/>
      <c r="I32" s="331" t="s">
        <v>356</v>
      </c>
      <c r="J32" s="332" t="s">
        <v>415</v>
      </c>
      <c r="K32" s="331"/>
      <c r="Q32" s="336" t="s">
        <v>356</v>
      </c>
      <c r="R32" s="332" t="s">
        <v>376</v>
      </c>
      <c r="S32" s="331"/>
      <c r="Y32" s="336" t="s">
        <v>356</v>
      </c>
      <c r="Z32" s="332" t="s">
        <v>373</v>
      </c>
      <c r="AA32" s="331"/>
    </row>
    <row r="33" spans="1:31" ht="20.100000000000001" customHeight="1" x14ac:dyDescent="0.3">
      <c r="A33" s="331" t="s">
        <v>357</v>
      </c>
      <c r="B33" s="332" t="s">
        <v>362</v>
      </c>
      <c r="C33" s="331"/>
      <c r="I33" s="331" t="s">
        <v>357</v>
      </c>
      <c r="J33" s="332" t="s">
        <v>362</v>
      </c>
      <c r="K33" s="331"/>
      <c r="Q33" s="331" t="s">
        <v>357</v>
      </c>
      <c r="R33" s="332" t="s">
        <v>362</v>
      </c>
      <c r="S33" s="331"/>
      <c r="Y33" s="331" t="s">
        <v>357</v>
      </c>
      <c r="Z33" s="332" t="s">
        <v>362</v>
      </c>
      <c r="AA33" s="331"/>
    </row>
    <row r="34" spans="1:31" ht="15.9" customHeight="1" x14ac:dyDescent="0.3">
      <c r="A34" s="331"/>
      <c r="B34" s="331"/>
      <c r="C34" s="331"/>
      <c r="Q34" s="331"/>
      <c r="R34" s="331"/>
      <c r="S34" s="331"/>
      <c r="Y34" s="331"/>
      <c r="Z34" s="331"/>
      <c r="AA34" s="331"/>
    </row>
    <row r="35" spans="1:31" ht="15.9" customHeight="1" x14ac:dyDescent="0.3">
      <c r="A35" s="335" t="s">
        <v>371</v>
      </c>
      <c r="B35" s="406" t="s">
        <v>389</v>
      </c>
      <c r="C35" s="406"/>
      <c r="D35" s="406"/>
      <c r="E35" s="406"/>
      <c r="F35" s="406"/>
      <c r="G35" s="406"/>
      <c r="I35" s="338" t="s">
        <v>371</v>
      </c>
      <c r="J35" s="406" t="s">
        <v>367</v>
      </c>
      <c r="K35" s="406"/>
      <c r="L35" s="406"/>
      <c r="M35" s="406"/>
      <c r="N35" s="406"/>
      <c r="O35" s="406"/>
      <c r="Q35" s="335" t="s">
        <v>371</v>
      </c>
      <c r="R35" s="406" t="s">
        <v>389</v>
      </c>
      <c r="S35" s="406"/>
      <c r="T35" s="406"/>
      <c r="U35" s="406"/>
      <c r="V35" s="406"/>
      <c r="W35" s="406"/>
      <c r="Y35" s="335" t="s">
        <v>371</v>
      </c>
      <c r="Z35" s="406" t="s">
        <v>409</v>
      </c>
      <c r="AA35" s="406"/>
      <c r="AB35" s="406"/>
      <c r="AC35" s="406"/>
      <c r="AD35" s="406"/>
      <c r="AE35" s="406"/>
    </row>
    <row r="36" spans="1:31" ht="15.9" customHeight="1" x14ac:dyDescent="0.3">
      <c r="A36" s="331"/>
      <c r="B36" s="331"/>
      <c r="C36" s="331"/>
      <c r="I36" s="331"/>
      <c r="J36" s="331"/>
      <c r="K36" s="331"/>
      <c r="Q36" s="331"/>
      <c r="R36" s="331"/>
      <c r="S36" s="331"/>
      <c r="Y36" s="331"/>
      <c r="Z36" s="331"/>
      <c r="AA36" s="331"/>
    </row>
    <row r="37" spans="1:31" ht="20.100000000000001" customHeight="1" x14ac:dyDescent="0.3">
      <c r="A37" s="331" t="s">
        <v>355</v>
      </c>
      <c r="B37" s="332" t="s">
        <v>372</v>
      </c>
      <c r="C37" s="331"/>
      <c r="I37" s="336" t="s">
        <v>355</v>
      </c>
      <c r="J37" s="332" t="s">
        <v>361</v>
      </c>
      <c r="K37" s="331"/>
      <c r="Q37" s="331" t="s">
        <v>355</v>
      </c>
      <c r="R37" s="332" t="s">
        <v>372</v>
      </c>
      <c r="S37" s="331"/>
      <c r="Y37" s="336" t="s">
        <v>355</v>
      </c>
      <c r="Z37" s="332" t="s">
        <v>410</v>
      </c>
      <c r="AA37" s="331"/>
    </row>
    <row r="38" spans="1:31" ht="20.100000000000001" customHeight="1" x14ac:dyDescent="0.3">
      <c r="A38" s="336" t="s">
        <v>356</v>
      </c>
      <c r="B38" s="332" t="s">
        <v>373</v>
      </c>
      <c r="C38" s="331"/>
      <c r="I38" s="331" t="s">
        <v>356</v>
      </c>
      <c r="J38" s="332" t="s">
        <v>365</v>
      </c>
      <c r="K38" s="331"/>
      <c r="Q38" s="336" t="s">
        <v>356</v>
      </c>
      <c r="R38" s="332" t="s">
        <v>373</v>
      </c>
      <c r="S38" s="331"/>
      <c r="Y38" s="331" t="s">
        <v>356</v>
      </c>
      <c r="Z38" s="332" t="s">
        <v>411</v>
      </c>
      <c r="AA38" s="331"/>
    </row>
    <row r="39" spans="1:31" ht="20.100000000000001" customHeight="1" x14ac:dyDescent="0.3">
      <c r="A39" s="331" t="s">
        <v>357</v>
      </c>
      <c r="B39" s="332" t="s">
        <v>362</v>
      </c>
      <c r="C39" s="331"/>
      <c r="I39" s="331" t="s">
        <v>357</v>
      </c>
      <c r="J39" s="332" t="s">
        <v>362</v>
      </c>
      <c r="K39" s="331"/>
      <c r="Q39" s="331" t="s">
        <v>357</v>
      </c>
      <c r="R39" s="332" t="s">
        <v>362</v>
      </c>
      <c r="S39" s="331"/>
      <c r="Y39" s="331" t="s">
        <v>357</v>
      </c>
      <c r="Z39" s="332" t="s">
        <v>362</v>
      </c>
      <c r="AA39" s="331"/>
    </row>
    <row r="40" spans="1:31" ht="15.9" customHeight="1" x14ac:dyDescent="0.3">
      <c r="A40" s="331"/>
      <c r="B40" s="331"/>
      <c r="C40" s="331"/>
      <c r="I40" s="331"/>
      <c r="J40" s="331"/>
      <c r="K40" s="331"/>
      <c r="Q40" s="331"/>
      <c r="R40" s="331"/>
      <c r="S40" s="331"/>
      <c r="Y40" s="331"/>
      <c r="Z40" s="331"/>
      <c r="AA40" s="331"/>
    </row>
    <row r="41" spans="1:31" ht="36.75" customHeight="1" x14ac:dyDescent="0.3">
      <c r="A41" s="335" t="s">
        <v>374</v>
      </c>
      <c r="B41" s="405" t="s">
        <v>390</v>
      </c>
      <c r="C41" s="405"/>
      <c r="D41" s="405"/>
      <c r="E41" s="405"/>
      <c r="F41" s="405"/>
      <c r="G41" s="405"/>
      <c r="I41" s="335" t="s">
        <v>374</v>
      </c>
      <c r="J41" s="405" t="s">
        <v>385</v>
      </c>
      <c r="K41" s="405"/>
      <c r="L41" s="405"/>
      <c r="M41" s="405"/>
      <c r="N41" s="405"/>
      <c r="O41" s="405"/>
      <c r="Q41" s="335" t="s">
        <v>374</v>
      </c>
      <c r="R41" s="406" t="s">
        <v>354</v>
      </c>
      <c r="S41" s="406"/>
      <c r="T41" s="406"/>
      <c r="U41" s="406"/>
      <c r="V41" s="406"/>
      <c r="W41" s="406"/>
      <c r="Y41" s="335" t="s">
        <v>374</v>
      </c>
      <c r="Z41" s="405" t="s">
        <v>381</v>
      </c>
      <c r="AA41" s="405"/>
      <c r="AB41" s="405"/>
      <c r="AC41" s="405"/>
      <c r="AD41" s="405"/>
      <c r="AE41" s="405"/>
    </row>
    <row r="42" spans="1:31" ht="15.9" customHeight="1" x14ac:dyDescent="0.3">
      <c r="A42" s="331"/>
      <c r="B42" s="331"/>
      <c r="C42" s="331"/>
      <c r="I42" s="331"/>
      <c r="J42" s="331"/>
      <c r="K42" s="331"/>
      <c r="Q42" s="331"/>
      <c r="R42" s="331"/>
      <c r="S42" s="331"/>
      <c r="Y42" s="331"/>
      <c r="Z42" s="331"/>
      <c r="AA42" s="331"/>
    </row>
    <row r="43" spans="1:31" ht="20.100000000000001" customHeight="1" x14ac:dyDescent="0.3">
      <c r="A43" s="337" t="s">
        <v>355</v>
      </c>
      <c r="B43" s="332" t="s">
        <v>375</v>
      </c>
      <c r="C43" s="331"/>
      <c r="I43" s="336" t="s">
        <v>355</v>
      </c>
      <c r="J43" s="332" t="s">
        <v>391</v>
      </c>
      <c r="K43" s="331"/>
      <c r="Q43" s="336" t="s">
        <v>355</v>
      </c>
      <c r="R43" s="332" t="s">
        <v>364</v>
      </c>
      <c r="S43" s="331"/>
      <c r="Y43" s="337" t="s">
        <v>355</v>
      </c>
      <c r="Z43" s="332" t="s">
        <v>382</v>
      </c>
      <c r="AA43" s="331"/>
    </row>
    <row r="44" spans="1:31" ht="20.100000000000001" customHeight="1" x14ac:dyDescent="0.3">
      <c r="A44" s="336" t="s">
        <v>356</v>
      </c>
      <c r="B44" s="332" t="s">
        <v>376</v>
      </c>
      <c r="C44" s="331"/>
      <c r="I44" s="337" t="s">
        <v>356</v>
      </c>
      <c r="J44" s="332" t="s">
        <v>392</v>
      </c>
      <c r="K44" s="331"/>
      <c r="Q44" s="331" t="s">
        <v>356</v>
      </c>
      <c r="R44" s="332" t="s">
        <v>363</v>
      </c>
      <c r="S44" s="331"/>
      <c r="Y44" s="337" t="s">
        <v>356</v>
      </c>
      <c r="Z44" s="332" t="s">
        <v>383</v>
      </c>
      <c r="AA44" s="331"/>
    </row>
    <row r="45" spans="1:31" ht="20.100000000000001" customHeight="1" x14ac:dyDescent="0.3">
      <c r="A45" s="331" t="s">
        <v>357</v>
      </c>
      <c r="B45" s="332" t="s">
        <v>362</v>
      </c>
      <c r="C45" s="331"/>
      <c r="I45" s="337" t="s">
        <v>357</v>
      </c>
      <c r="J45" s="332" t="s">
        <v>362</v>
      </c>
      <c r="K45" s="331"/>
      <c r="Q45" s="331" t="s">
        <v>357</v>
      </c>
      <c r="R45" s="332" t="s">
        <v>362</v>
      </c>
      <c r="S45" s="331"/>
      <c r="Y45" s="336" t="s">
        <v>357</v>
      </c>
      <c r="Z45" s="332" t="s">
        <v>362</v>
      </c>
      <c r="AA45" s="331"/>
    </row>
    <row r="46" spans="1:31" ht="15.9" customHeight="1" x14ac:dyDescent="0.3">
      <c r="A46" s="331"/>
      <c r="B46" s="331"/>
      <c r="C46" s="331"/>
      <c r="I46" s="331"/>
      <c r="J46" s="331"/>
      <c r="K46" s="331"/>
      <c r="Q46" s="331"/>
      <c r="R46" s="331"/>
      <c r="S46" s="331"/>
      <c r="Y46" s="331"/>
      <c r="Z46" s="331"/>
      <c r="AA46" s="331"/>
    </row>
    <row r="47" spans="1:31" ht="15.9" customHeight="1" x14ac:dyDescent="0.3">
      <c r="A47" s="335" t="s">
        <v>377</v>
      </c>
      <c r="B47" s="406" t="s">
        <v>378</v>
      </c>
      <c r="C47" s="406"/>
      <c r="D47" s="406"/>
      <c r="E47" s="406"/>
      <c r="F47" s="406"/>
      <c r="G47" s="406"/>
      <c r="I47" s="335" t="s">
        <v>377</v>
      </c>
      <c r="J47" s="406" t="s">
        <v>381</v>
      </c>
      <c r="K47" s="406"/>
      <c r="L47" s="406"/>
      <c r="M47" s="406"/>
      <c r="N47" s="406"/>
      <c r="O47" s="406"/>
      <c r="Q47" s="335" t="s">
        <v>377</v>
      </c>
      <c r="R47" s="406" t="s">
        <v>409</v>
      </c>
      <c r="S47" s="406"/>
      <c r="T47" s="406"/>
      <c r="U47" s="406"/>
      <c r="V47" s="406"/>
      <c r="W47" s="406"/>
      <c r="Y47" s="335" t="s">
        <v>377</v>
      </c>
      <c r="Z47" s="406" t="s">
        <v>388</v>
      </c>
      <c r="AA47" s="406"/>
      <c r="AB47" s="406"/>
      <c r="AC47" s="406"/>
      <c r="AD47" s="406"/>
      <c r="AE47" s="406"/>
    </row>
    <row r="48" spans="1:31" ht="15.9" customHeight="1" x14ac:dyDescent="0.3">
      <c r="A48" s="331"/>
      <c r="B48" s="331"/>
      <c r="C48" s="331"/>
      <c r="I48" s="331"/>
      <c r="J48" s="331"/>
      <c r="K48" s="331"/>
      <c r="Q48" s="331"/>
      <c r="R48" s="331"/>
      <c r="S48" s="331"/>
      <c r="Y48" s="331"/>
      <c r="Z48" s="331"/>
      <c r="AA48" s="331"/>
    </row>
    <row r="49" spans="1:31" ht="20.100000000000001" customHeight="1" x14ac:dyDescent="0.3">
      <c r="A49" s="337" t="s">
        <v>355</v>
      </c>
      <c r="B49" s="332" t="s">
        <v>412</v>
      </c>
      <c r="C49" s="331"/>
      <c r="I49" s="337" t="s">
        <v>355</v>
      </c>
      <c r="J49" s="332" t="s">
        <v>382</v>
      </c>
      <c r="K49" s="331"/>
      <c r="Q49" s="336" t="s">
        <v>355</v>
      </c>
      <c r="R49" s="332" t="s">
        <v>414</v>
      </c>
      <c r="S49" s="331"/>
      <c r="Y49" s="337" t="s">
        <v>355</v>
      </c>
      <c r="Z49" s="332" t="s">
        <v>369</v>
      </c>
      <c r="AA49" s="331"/>
    </row>
    <row r="50" spans="1:31" ht="20.100000000000001" customHeight="1" x14ac:dyDescent="0.3">
      <c r="A50" s="336" t="s">
        <v>356</v>
      </c>
      <c r="B50" s="332" t="s">
        <v>413</v>
      </c>
      <c r="C50" s="331"/>
      <c r="I50" s="337" t="s">
        <v>356</v>
      </c>
      <c r="J50" s="332" t="s">
        <v>383</v>
      </c>
      <c r="K50" s="331"/>
      <c r="Q50" s="331" t="s">
        <v>356</v>
      </c>
      <c r="R50" s="332" t="s">
        <v>415</v>
      </c>
      <c r="S50" s="331"/>
      <c r="Y50" s="336" t="s">
        <v>356</v>
      </c>
      <c r="Z50" s="332" t="s">
        <v>370</v>
      </c>
      <c r="AA50" s="331"/>
    </row>
    <row r="51" spans="1:31" ht="20.100000000000001" customHeight="1" x14ac:dyDescent="0.3">
      <c r="A51" s="331" t="s">
        <v>357</v>
      </c>
      <c r="B51" s="332" t="s">
        <v>362</v>
      </c>
      <c r="C51" s="331"/>
      <c r="I51" s="336" t="s">
        <v>357</v>
      </c>
      <c r="J51" s="332" t="s">
        <v>362</v>
      </c>
      <c r="K51" s="331"/>
      <c r="Q51" s="331" t="s">
        <v>357</v>
      </c>
      <c r="R51" s="332" t="s">
        <v>362</v>
      </c>
      <c r="S51" s="331"/>
      <c r="Y51" s="331" t="s">
        <v>357</v>
      </c>
      <c r="Z51" s="332" t="s">
        <v>362</v>
      </c>
      <c r="AA51" s="331"/>
    </row>
    <row r="52" spans="1:31" ht="15.9" customHeight="1" x14ac:dyDescent="0.3">
      <c r="A52" s="331"/>
      <c r="B52" s="331"/>
      <c r="C52" s="331"/>
      <c r="I52" s="331"/>
      <c r="J52" s="331"/>
      <c r="K52" s="331"/>
      <c r="Q52" s="331"/>
      <c r="R52" s="331"/>
      <c r="S52" s="331"/>
      <c r="Y52" s="331"/>
      <c r="Z52" s="331"/>
      <c r="AA52" s="331"/>
    </row>
    <row r="53" spans="1:31" ht="15.9" customHeight="1" x14ac:dyDescent="0.3">
      <c r="A53" s="335" t="s">
        <v>379</v>
      </c>
      <c r="B53" s="406" t="s">
        <v>381</v>
      </c>
      <c r="C53" s="406"/>
      <c r="D53" s="406"/>
      <c r="E53" s="406"/>
      <c r="F53" s="406"/>
      <c r="G53" s="406"/>
      <c r="I53" s="338" t="s">
        <v>379</v>
      </c>
      <c r="J53" s="406" t="s">
        <v>359</v>
      </c>
      <c r="K53" s="406"/>
      <c r="L53" s="406"/>
      <c r="M53" s="406"/>
      <c r="N53" s="406"/>
      <c r="O53" s="406"/>
      <c r="Q53" s="338" t="s">
        <v>379</v>
      </c>
      <c r="R53" s="406" t="s">
        <v>367</v>
      </c>
      <c r="S53" s="406"/>
      <c r="T53" s="406"/>
      <c r="U53" s="406"/>
      <c r="V53" s="406"/>
      <c r="W53" s="406"/>
      <c r="Y53" s="335" t="s">
        <v>379</v>
      </c>
      <c r="Z53" s="406" t="s">
        <v>385</v>
      </c>
      <c r="AA53" s="406"/>
      <c r="AB53" s="406"/>
      <c r="AC53" s="406"/>
      <c r="AD53" s="406"/>
      <c r="AE53" s="406"/>
    </row>
    <row r="54" spans="1:31" ht="15.9" customHeight="1" x14ac:dyDescent="0.3">
      <c r="A54" s="331"/>
      <c r="B54" s="331"/>
      <c r="C54" s="331"/>
      <c r="I54" s="331"/>
      <c r="J54" s="331"/>
      <c r="K54" s="331"/>
      <c r="Q54" s="331"/>
      <c r="R54" s="331"/>
      <c r="S54" s="331"/>
      <c r="Y54" s="331"/>
      <c r="Z54" s="331"/>
      <c r="AA54" s="331"/>
    </row>
    <row r="55" spans="1:31" ht="20.100000000000001" customHeight="1" x14ac:dyDescent="0.3">
      <c r="A55" s="337" t="s">
        <v>355</v>
      </c>
      <c r="B55" s="332" t="s">
        <v>382</v>
      </c>
      <c r="C55" s="331"/>
      <c r="I55" s="336" t="s">
        <v>355</v>
      </c>
      <c r="J55" s="332" t="s">
        <v>386</v>
      </c>
      <c r="K55" s="331"/>
      <c r="Q55" s="336" t="s">
        <v>355</v>
      </c>
      <c r="R55" s="332" t="s">
        <v>361</v>
      </c>
      <c r="S55" s="331"/>
      <c r="Y55" s="336" t="s">
        <v>355</v>
      </c>
      <c r="Z55" s="332" t="s">
        <v>391</v>
      </c>
      <c r="AA55" s="331"/>
    </row>
    <row r="56" spans="1:31" ht="20.100000000000001" customHeight="1" x14ac:dyDescent="0.3">
      <c r="A56" s="337" t="s">
        <v>356</v>
      </c>
      <c r="B56" s="332" t="s">
        <v>383</v>
      </c>
      <c r="C56" s="331"/>
      <c r="I56" s="331" t="s">
        <v>356</v>
      </c>
      <c r="J56" s="332" t="s">
        <v>387</v>
      </c>
      <c r="K56" s="331"/>
      <c r="Q56" s="331" t="s">
        <v>356</v>
      </c>
      <c r="R56" s="332" t="s">
        <v>365</v>
      </c>
      <c r="S56" s="331"/>
      <c r="Y56" s="337" t="s">
        <v>356</v>
      </c>
      <c r="Z56" s="332" t="s">
        <v>392</v>
      </c>
      <c r="AA56" s="331"/>
    </row>
    <row r="57" spans="1:31" ht="20.100000000000001" customHeight="1" x14ac:dyDescent="0.3">
      <c r="A57" s="336" t="s">
        <v>357</v>
      </c>
      <c r="B57" s="332" t="s">
        <v>362</v>
      </c>
      <c r="C57" s="331"/>
      <c r="I57" s="331" t="s">
        <v>357</v>
      </c>
      <c r="J57" s="332" t="s">
        <v>362</v>
      </c>
      <c r="K57" s="331"/>
      <c r="Q57" s="331" t="s">
        <v>357</v>
      </c>
      <c r="R57" s="332" t="s">
        <v>362</v>
      </c>
      <c r="S57" s="331"/>
      <c r="Y57" s="337" t="s">
        <v>357</v>
      </c>
      <c r="Z57" s="332" t="s">
        <v>362</v>
      </c>
      <c r="AA57" s="331"/>
    </row>
    <row r="58" spans="1:31" ht="15.9" customHeight="1" x14ac:dyDescent="0.3">
      <c r="A58" s="331"/>
      <c r="B58" s="331"/>
      <c r="C58" s="331"/>
      <c r="I58" s="331"/>
      <c r="J58" s="331"/>
      <c r="K58" s="331"/>
      <c r="Q58" s="331"/>
      <c r="R58" s="331"/>
      <c r="S58" s="331"/>
      <c r="Y58" s="331"/>
      <c r="Z58" s="331"/>
      <c r="AA58" s="331"/>
    </row>
    <row r="59" spans="1:31" ht="15.9" customHeight="1" x14ac:dyDescent="0.3">
      <c r="A59" s="335" t="s">
        <v>384</v>
      </c>
      <c r="B59" s="406" t="s">
        <v>385</v>
      </c>
      <c r="C59" s="406"/>
      <c r="D59" s="406"/>
      <c r="E59" s="406"/>
      <c r="F59" s="406"/>
      <c r="G59" s="406"/>
      <c r="I59" s="335" t="s">
        <v>384</v>
      </c>
      <c r="J59" s="406" t="s">
        <v>389</v>
      </c>
      <c r="K59" s="406"/>
      <c r="L59" s="406"/>
      <c r="M59" s="406"/>
      <c r="N59" s="406"/>
      <c r="O59" s="406"/>
      <c r="Q59" s="338" t="s">
        <v>384</v>
      </c>
      <c r="R59" s="406" t="s">
        <v>359</v>
      </c>
      <c r="S59" s="406"/>
      <c r="T59" s="406"/>
      <c r="U59" s="406"/>
      <c r="V59" s="406"/>
      <c r="W59" s="406"/>
      <c r="Y59" s="335" t="s">
        <v>384</v>
      </c>
      <c r="Z59" s="406" t="s">
        <v>378</v>
      </c>
      <c r="AA59" s="406"/>
      <c r="AB59" s="406"/>
      <c r="AC59" s="406"/>
      <c r="AD59" s="406"/>
      <c r="AE59" s="406"/>
    </row>
    <row r="60" spans="1:31" ht="15.9" customHeight="1" x14ac:dyDescent="0.3">
      <c r="A60" s="331"/>
      <c r="B60" s="331"/>
      <c r="C60" s="331"/>
      <c r="I60" s="331"/>
      <c r="J60" s="331"/>
      <c r="K60" s="331"/>
      <c r="Q60" s="331"/>
      <c r="R60" s="331"/>
      <c r="S60" s="331"/>
      <c r="Y60" s="331"/>
      <c r="Z60" s="331"/>
      <c r="AA60" s="331"/>
    </row>
    <row r="61" spans="1:31" ht="20.100000000000001" customHeight="1" x14ac:dyDescent="0.3">
      <c r="A61" s="336" t="s">
        <v>355</v>
      </c>
      <c r="B61" s="332" t="s">
        <v>391</v>
      </c>
      <c r="C61" s="331"/>
      <c r="I61" s="331" t="s">
        <v>355</v>
      </c>
      <c r="J61" s="332" t="s">
        <v>372</v>
      </c>
      <c r="K61" s="331"/>
      <c r="Q61" s="336" t="s">
        <v>355</v>
      </c>
      <c r="R61" s="332" t="s">
        <v>386</v>
      </c>
      <c r="S61" s="331"/>
      <c r="Y61" s="337" t="s">
        <v>355</v>
      </c>
      <c r="Z61" s="332" t="s">
        <v>412</v>
      </c>
      <c r="AA61" s="331"/>
    </row>
    <row r="62" spans="1:31" ht="20.100000000000001" customHeight="1" x14ac:dyDescent="0.3">
      <c r="A62" s="337" t="s">
        <v>356</v>
      </c>
      <c r="B62" s="332" t="s">
        <v>392</v>
      </c>
      <c r="C62" s="331"/>
      <c r="I62" s="336" t="s">
        <v>356</v>
      </c>
      <c r="J62" s="332" t="s">
        <v>373</v>
      </c>
      <c r="K62" s="331"/>
      <c r="Q62" s="331" t="s">
        <v>356</v>
      </c>
      <c r="R62" s="332" t="s">
        <v>387</v>
      </c>
      <c r="S62" s="331"/>
      <c r="Y62" s="336" t="s">
        <v>356</v>
      </c>
      <c r="Z62" s="332" t="s">
        <v>413</v>
      </c>
      <c r="AA62" s="331"/>
    </row>
    <row r="63" spans="1:31" ht="20.100000000000001" customHeight="1" x14ac:dyDescent="0.3">
      <c r="A63" s="337" t="s">
        <v>357</v>
      </c>
      <c r="B63" s="332" t="s">
        <v>362</v>
      </c>
      <c r="C63" s="331"/>
      <c r="I63" s="331" t="s">
        <v>357</v>
      </c>
      <c r="J63" s="332" t="s">
        <v>362</v>
      </c>
      <c r="K63" s="331"/>
      <c r="Q63" s="331" t="s">
        <v>357</v>
      </c>
      <c r="R63" s="332" t="s">
        <v>362</v>
      </c>
      <c r="S63" s="331"/>
      <c r="Y63" s="331" t="s">
        <v>357</v>
      </c>
      <c r="Z63" s="332" t="s">
        <v>362</v>
      </c>
      <c r="AA63" s="331"/>
    </row>
    <row r="64" spans="1:31" ht="15.9" customHeight="1" x14ac:dyDescent="0.3">
      <c r="A64" s="331"/>
      <c r="B64" s="331"/>
      <c r="C64" s="331"/>
      <c r="I64" s="331"/>
      <c r="J64" s="331"/>
      <c r="K64" s="331"/>
      <c r="Q64" s="331"/>
      <c r="R64" s="331"/>
      <c r="S64" s="331"/>
      <c r="Y64" s="331"/>
      <c r="Z64" s="331"/>
      <c r="AA64" s="331"/>
    </row>
    <row r="65" spans="1:27" ht="15.9" customHeight="1" x14ac:dyDescent="0.3">
      <c r="A65" s="331"/>
      <c r="B65" s="331"/>
      <c r="C65" s="331"/>
      <c r="Q65" s="331"/>
      <c r="R65" s="331"/>
      <c r="S65" s="331"/>
      <c r="Y65" s="331"/>
      <c r="Z65" s="331"/>
      <c r="AA65" s="331"/>
    </row>
    <row r="66" spans="1:27" x14ac:dyDescent="0.3">
      <c r="A66" s="331"/>
      <c r="Q66" s="331"/>
      <c r="Y66" s="331"/>
    </row>
    <row r="67" spans="1:27" x14ac:dyDescent="0.3">
      <c r="A67" s="331"/>
      <c r="Q67" s="331"/>
    </row>
    <row r="68" spans="1:27" x14ac:dyDescent="0.3">
      <c r="A68" s="331"/>
      <c r="Q68" s="331"/>
    </row>
    <row r="69" spans="1:27" x14ac:dyDescent="0.3">
      <c r="A69" s="331"/>
    </row>
    <row r="70" spans="1:27" x14ac:dyDescent="0.3">
      <c r="A70" s="331"/>
    </row>
    <row r="71" spans="1:27" x14ac:dyDescent="0.3">
      <c r="A71" s="331"/>
    </row>
    <row r="72" spans="1:27" x14ac:dyDescent="0.3">
      <c r="A72" s="331"/>
      <c r="Y72" s="331"/>
    </row>
    <row r="73" spans="1:27" x14ac:dyDescent="0.3">
      <c r="A73" s="331"/>
      <c r="Y73" s="331"/>
    </row>
    <row r="74" spans="1:27" x14ac:dyDescent="0.3">
      <c r="A74" s="331"/>
      <c r="Q74" s="331"/>
      <c r="Y74" s="331"/>
    </row>
    <row r="75" spans="1:27" x14ac:dyDescent="0.3">
      <c r="A75" s="331"/>
      <c r="Q75" s="331"/>
      <c r="Y75" s="331"/>
    </row>
    <row r="76" spans="1:27" x14ac:dyDescent="0.3">
      <c r="A76" s="331"/>
      <c r="Q76" s="331"/>
      <c r="Y76" s="331"/>
    </row>
    <row r="77" spans="1:27" x14ac:dyDescent="0.3">
      <c r="A77" s="331"/>
      <c r="Q77" s="331"/>
      <c r="Y77" s="331"/>
    </row>
    <row r="78" spans="1:27" x14ac:dyDescent="0.3">
      <c r="A78" s="331"/>
      <c r="Q78" s="331"/>
      <c r="Y78" s="331"/>
    </row>
    <row r="79" spans="1:27" x14ac:dyDescent="0.3">
      <c r="A79" s="331"/>
      <c r="Q79" s="331"/>
      <c r="Y79" s="331"/>
    </row>
    <row r="91" spans="9:11" x14ac:dyDescent="0.3">
      <c r="I91" s="331"/>
      <c r="J91" s="331"/>
      <c r="K91" s="331"/>
    </row>
  </sheetData>
  <mergeCells count="40">
    <mergeCell ref="Z35:AE35"/>
    <mergeCell ref="Z47:AE47"/>
    <mergeCell ref="Z29:AE29"/>
    <mergeCell ref="Z23:AE23"/>
    <mergeCell ref="Z59:AE59"/>
    <mergeCell ref="Z41:AE41"/>
    <mergeCell ref="Z53:AE53"/>
    <mergeCell ref="R11:W11"/>
    <mergeCell ref="R5:W5"/>
    <mergeCell ref="Z17:AE17"/>
    <mergeCell ref="Z5:AE5"/>
    <mergeCell ref="Z11:AE11"/>
    <mergeCell ref="R59:W59"/>
    <mergeCell ref="R53:W53"/>
    <mergeCell ref="R47:W47"/>
    <mergeCell ref="R23:W23"/>
    <mergeCell ref="R35:W35"/>
    <mergeCell ref="R29:W29"/>
    <mergeCell ref="J17:O17"/>
    <mergeCell ref="J53:O53"/>
    <mergeCell ref="J35:O35"/>
    <mergeCell ref="J29:O29"/>
    <mergeCell ref="R41:W41"/>
    <mergeCell ref="R17:W17"/>
    <mergeCell ref="J5:O5"/>
    <mergeCell ref="B53:G53"/>
    <mergeCell ref="B59:G59"/>
    <mergeCell ref="B5:G5"/>
    <mergeCell ref="B11:G11"/>
    <mergeCell ref="B17:G17"/>
    <mergeCell ref="B23:G23"/>
    <mergeCell ref="B29:G29"/>
    <mergeCell ref="B35:G35"/>
    <mergeCell ref="B41:G41"/>
    <mergeCell ref="B47:G47"/>
    <mergeCell ref="J59:O59"/>
    <mergeCell ref="J11:O11"/>
    <mergeCell ref="J23:O23"/>
    <mergeCell ref="J47:O47"/>
    <mergeCell ref="J41:O41"/>
  </mergeCells>
  <pageMargins left="0.511811024" right="0.511811024" top="0.78740157499999996" bottom="0.78740157499999996" header="0.31496062000000002" footer="0.31496062000000002"/>
  <pageSetup paperSize="9" scale="95" orientation="portrait" horizontalDpi="0" verticalDpi="0" r:id="rId1"/>
  <headerFooter>
    <oddHeader>&amp;CProva Final</oddHeader>
    <oddFooter>&amp;L&amp;F&amp;C&amp;A&amp;R&amp;P/&amp;N</oddFooter>
  </headerFooter>
  <rowBreaks count="1" manualBreakCount="1">
    <brk id="40" max="6"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2"/>
  <sheetViews>
    <sheetView showGridLines="0" topLeftCell="A5" zoomScale="90" zoomScaleNormal="90" zoomScalePageLayoutView="85" workbookViewId="0">
      <selection activeCell="A26" sqref="A26"/>
    </sheetView>
  </sheetViews>
  <sheetFormatPr defaultColWidth="12.44140625" defaultRowHeight="15" x14ac:dyDescent="0.25"/>
  <cols>
    <col min="1" max="1" width="33" style="47" customWidth="1"/>
    <col min="2" max="3" width="12.88671875" style="47" customWidth="1"/>
    <col min="4" max="4" width="1.88671875" style="47" customWidth="1"/>
    <col min="5" max="5" width="14.44140625" style="47" bestFit="1" customWidth="1"/>
    <col min="6" max="6" width="3.44140625" style="47" customWidth="1"/>
    <col min="7" max="7" width="22.109375" style="47" customWidth="1"/>
    <col min="8" max="8" width="11.44140625" style="47" bestFit="1" customWidth="1"/>
    <col min="9" max="9" width="12.109375" style="47" bestFit="1" customWidth="1"/>
    <col min="10" max="16384" width="12.44140625" style="47"/>
  </cols>
  <sheetData>
    <row r="1" spans="1:9" ht="34.5" customHeight="1" x14ac:dyDescent="0.4">
      <c r="A1" s="345" t="s">
        <v>324</v>
      </c>
      <c r="B1" s="346" t="s">
        <v>460</v>
      </c>
      <c r="C1" s="344"/>
      <c r="D1" s="344"/>
      <c r="E1" s="344"/>
      <c r="F1" s="344"/>
      <c r="G1" s="344"/>
      <c r="H1" s="344"/>
    </row>
    <row r="2" spans="1:9" ht="34.5" customHeight="1" x14ac:dyDescent="0.4">
      <c r="A2" s="345"/>
      <c r="B2" s="345"/>
    </row>
    <row r="3" spans="1:9" ht="15.6" x14ac:dyDescent="0.3">
      <c r="A3" s="46" t="s">
        <v>340</v>
      </c>
    </row>
    <row r="5" spans="1:9" ht="15.6" x14ac:dyDescent="0.3">
      <c r="B5" s="333">
        <v>2018</v>
      </c>
      <c r="C5" s="333">
        <v>2017</v>
      </c>
      <c r="D5" s="48"/>
      <c r="E5" s="48"/>
      <c r="H5" s="334">
        <v>2018</v>
      </c>
      <c r="I5" s="334">
        <v>2017</v>
      </c>
    </row>
    <row r="6" spans="1:9" ht="15.6" x14ac:dyDescent="0.3">
      <c r="A6" s="324" t="s">
        <v>1</v>
      </c>
      <c r="B6" s="49">
        <f>SUM(B7:B11)</f>
        <v>143606</v>
      </c>
      <c r="C6" s="49">
        <f>SUM(C7:C11)</f>
        <v>155909</v>
      </c>
      <c r="D6" s="325"/>
      <c r="E6" s="324" t="s">
        <v>87</v>
      </c>
      <c r="H6" s="49">
        <f>SUM(H7:H10)</f>
        <v>97068</v>
      </c>
      <c r="I6" s="49">
        <f>SUM(I7:I10)</f>
        <v>82535</v>
      </c>
    </row>
    <row r="7" spans="1:9" x14ac:dyDescent="0.25">
      <c r="A7" s="50" t="s">
        <v>102</v>
      </c>
      <c r="B7" s="51">
        <f>53854</f>
        <v>53854</v>
      </c>
      <c r="C7" s="51">
        <f>74494</f>
        <v>74494</v>
      </c>
      <c r="D7" s="51"/>
      <c r="E7" s="50" t="s">
        <v>4</v>
      </c>
      <c r="H7" s="51">
        <v>24516</v>
      </c>
      <c r="I7" s="51">
        <v>19077</v>
      </c>
    </row>
    <row r="8" spans="1:9" x14ac:dyDescent="0.25">
      <c r="A8" s="50" t="s">
        <v>103</v>
      </c>
      <c r="B8" s="51">
        <f>4198</f>
        <v>4198</v>
      </c>
      <c r="C8" s="51">
        <f>6237</f>
        <v>6237</v>
      </c>
      <c r="D8" s="51"/>
      <c r="E8" s="50" t="s">
        <v>104</v>
      </c>
      <c r="H8" s="51">
        <v>6426</v>
      </c>
      <c r="I8" s="51">
        <v>4331</v>
      </c>
    </row>
    <row r="9" spans="1:9" x14ac:dyDescent="0.25">
      <c r="A9" s="50" t="s">
        <v>5</v>
      </c>
      <c r="B9" s="51">
        <v>22264</v>
      </c>
      <c r="C9" s="51">
        <v>16446</v>
      </c>
      <c r="D9" s="51"/>
      <c r="E9" s="50" t="s">
        <v>105</v>
      </c>
      <c r="H9" s="51">
        <v>14296</v>
      </c>
      <c r="I9" s="51">
        <v>23244</v>
      </c>
    </row>
    <row r="10" spans="1:9" x14ac:dyDescent="0.25">
      <c r="A10" s="50" t="s">
        <v>106</v>
      </c>
      <c r="B10" s="51">
        <v>34822</v>
      </c>
      <c r="C10" s="51">
        <v>28081</v>
      </c>
      <c r="D10" s="51"/>
      <c r="E10" s="50" t="s">
        <v>107</v>
      </c>
      <c r="H10" s="51">
        <f>97068-SUM(H7:H9)</f>
        <v>51830</v>
      </c>
      <c r="I10" s="51">
        <f>82535-SUM(I7:I9)</f>
        <v>35883</v>
      </c>
    </row>
    <row r="11" spans="1:9" ht="15.6" x14ac:dyDescent="0.3">
      <c r="A11" s="50" t="s">
        <v>108</v>
      </c>
      <c r="B11" s="51">
        <f>143606-115138</f>
        <v>28468</v>
      </c>
      <c r="C11" s="51">
        <f>155909-125258</f>
        <v>30651</v>
      </c>
      <c r="D11" s="51"/>
      <c r="E11" s="46" t="s">
        <v>90</v>
      </c>
      <c r="H11" s="49">
        <f>SUM(H12:H13)</f>
        <v>479862</v>
      </c>
      <c r="I11" s="49">
        <f>SUM(I12:I13)</f>
        <v>479371</v>
      </c>
    </row>
    <row r="12" spans="1:9" ht="19.2" x14ac:dyDescent="0.6">
      <c r="A12" s="46" t="s">
        <v>10</v>
      </c>
      <c r="B12" s="49">
        <f>SUM(B13:B17)</f>
        <v>716867</v>
      </c>
      <c r="C12" s="383">
        <f>SUM(C13:C17)</f>
        <v>675606</v>
      </c>
      <c r="D12" s="325"/>
      <c r="E12" s="50" t="s">
        <v>105</v>
      </c>
      <c r="H12" s="52">
        <v>312580</v>
      </c>
      <c r="I12" s="52">
        <v>338239</v>
      </c>
    </row>
    <row r="13" spans="1:9" x14ac:dyDescent="0.25">
      <c r="A13" s="50" t="s">
        <v>109</v>
      </c>
      <c r="B13" s="52">
        <v>85478</v>
      </c>
      <c r="C13" s="52">
        <v>70955</v>
      </c>
      <c r="D13" s="52"/>
      <c r="E13" s="50" t="s">
        <v>110</v>
      </c>
      <c r="H13" s="52">
        <f>479862-312580</f>
        <v>167282</v>
      </c>
      <c r="I13" s="52">
        <f>479371-338239</f>
        <v>141132</v>
      </c>
    </row>
    <row r="14" spans="1:9" ht="15.6" x14ac:dyDescent="0.3">
      <c r="A14" s="50" t="s">
        <v>12</v>
      </c>
      <c r="B14" s="52">
        <v>10690</v>
      </c>
      <c r="C14" s="52">
        <v>12554</v>
      </c>
      <c r="D14" s="52"/>
      <c r="E14" s="46" t="s">
        <v>16</v>
      </c>
      <c r="H14" s="49">
        <f>SUM(H15:H17)</f>
        <v>283543</v>
      </c>
      <c r="I14" s="49">
        <f>SUM(I15:I17)</f>
        <v>269609</v>
      </c>
    </row>
    <row r="15" spans="1:9" x14ac:dyDescent="0.25">
      <c r="A15" s="50" t="s">
        <v>111</v>
      </c>
      <c r="B15" s="52">
        <f>609829-B16</f>
        <v>940055</v>
      </c>
      <c r="C15" s="52">
        <f>584357-C16</f>
        <v>884982</v>
      </c>
      <c r="D15" s="52"/>
      <c r="E15" s="50" t="s">
        <v>17</v>
      </c>
      <c r="H15" s="52">
        <v>205432</v>
      </c>
      <c r="I15" s="52">
        <v>205432</v>
      </c>
    </row>
    <row r="16" spans="1:9" x14ac:dyDescent="0.25">
      <c r="A16" s="50" t="s">
        <v>112</v>
      </c>
      <c r="B16" s="51">
        <v>-330226</v>
      </c>
      <c r="C16" s="51">
        <v>-300625</v>
      </c>
      <c r="D16" s="51"/>
      <c r="E16" s="50" t="s">
        <v>343</v>
      </c>
      <c r="H16" s="52">
        <v>95364</v>
      </c>
      <c r="I16" s="52">
        <v>77364</v>
      </c>
    </row>
    <row r="17" spans="1:9" x14ac:dyDescent="0.25">
      <c r="A17" s="50" t="s">
        <v>113</v>
      </c>
      <c r="B17" s="52">
        <v>10870</v>
      </c>
      <c r="C17" s="52">
        <v>7740</v>
      </c>
      <c r="D17" s="52"/>
      <c r="E17" s="50" t="s">
        <v>114</v>
      </c>
      <c r="H17" s="52">
        <f>2458-26029+6318</f>
        <v>-17253</v>
      </c>
      <c r="I17" s="52">
        <f>2457-21268+5624</f>
        <v>-13187</v>
      </c>
    </row>
    <row r="18" spans="1:9" ht="16.2" thickBot="1" x14ac:dyDescent="0.35">
      <c r="A18" s="46" t="s">
        <v>115</v>
      </c>
      <c r="B18" s="53">
        <f>B12+B6</f>
        <v>860473</v>
      </c>
      <c r="C18" s="53">
        <f>C12+C6</f>
        <v>831515</v>
      </c>
      <c r="D18" s="325"/>
      <c r="E18" s="46" t="s">
        <v>116</v>
      </c>
      <c r="F18" s="46"/>
      <c r="H18" s="53">
        <f>H14+H11+H6</f>
        <v>860473</v>
      </c>
      <c r="I18" s="53">
        <f>I14+I11+I6</f>
        <v>831515</v>
      </c>
    </row>
    <row r="19" spans="1:9" s="46" customFormat="1" ht="16.2" thickTop="1" x14ac:dyDescent="0.3">
      <c r="A19" s="47"/>
      <c r="B19" s="47"/>
      <c r="C19" s="47"/>
      <c r="D19" s="47"/>
      <c r="E19" s="47"/>
      <c r="F19" s="47"/>
      <c r="G19" s="47"/>
      <c r="H19" s="47"/>
      <c r="I19" s="47"/>
    </row>
    <row r="20" spans="1:9" x14ac:dyDescent="0.25">
      <c r="B20" s="52"/>
      <c r="C20" s="52"/>
      <c r="D20" s="52"/>
      <c r="E20" s="52"/>
    </row>
    <row r="21" spans="1:9" s="55" customFormat="1" ht="33" customHeight="1" x14ac:dyDescent="0.3">
      <c r="A21" s="407" t="s">
        <v>344</v>
      </c>
      <c r="B21" s="407"/>
      <c r="C21" s="407"/>
      <c r="D21" s="407"/>
      <c r="E21" s="407"/>
      <c r="F21" s="407"/>
      <c r="G21" s="373"/>
    </row>
    <row r="23" spans="1:9" x14ac:dyDescent="0.25">
      <c r="A23" s="50" t="s">
        <v>117</v>
      </c>
      <c r="E23" s="56">
        <v>349836</v>
      </c>
    </row>
    <row r="24" spans="1:9" x14ac:dyDescent="0.25">
      <c r="A24" s="50" t="s">
        <v>119</v>
      </c>
      <c r="E24" s="57">
        <v>-225293</v>
      </c>
    </row>
    <row r="25" spans="1:9" ht="15.6" x14ac:dyDescent="0.3">
      <c r="A25" s="46" t="s">
        <v>44</v>
      </c>
      <c r="B25" s="46"/>
      <c r="E25" s="58">
        <f>E23+E24</f>
        <v>124543</v>
      </c>
      <c r="F25" s="46"/>
    </row>
    <row r="26" spans="1:9" s="46" customFormat="1" ht="15.6" x14ac:dyDescent="0.3">
      <c r="A26" s="50" t="s">
        <v>121</v>
      </c>
      <c r="B26" s="47"/>
      <c r="E26" s="59">
        <f>-59667-SUM(E27:E28)</f>
        <v>-25793</v>
      </c>
      <c r="F26" s="47"/>
    </row>
    <row r="27" spans="1:9" x14ac:dyDescent="0.25">
      <c r="A27" s="50" t="s">
        <v>123</v>
      </c>
      <c r="E27" s="59">
        <f>-23807-1299</f>
        <v>-25106</v>
      </c>
    </row>
    <row r="28" spans="1:9" x14ac:dyDescent="0.25">
      <c r="A28" s="50" t="s">
        <v>124</v>
      </c>
      <c r="E28" s="59">
        <f>-35793+1919-E27</f>
        <v>-8768</v>
      </c>
    </row>
    <row r="29" spans="1:9" ht="15.6" x14ac:dyDescent="0.3">
      <c r="A29" s="46" t="s">
        <v>341</v>
      </c>
      <c r="B29" s="46"/>
      <c r="E29" s="58">
        <f>SUM(E25:E28)</f>
        <v>64876</v>
      </c>
    </row>
    <row r="30" spans="1:9" ht="15.6" x14ac:dyDescent="0.3">
      <c r="A30" s="50" t="s">
        <v>125</v>
      </c>
      <c r="E30" s="59">
        <v>-32747</v>
      </c>
      <c r="F30" s="46"/>
    </row>
    <row r="31" spans="1:9" s="46" customFormat="1" ht="15.6" x14ac:dyDescent="0.3">
      <c r="A31" s="50" t="s">
        <v>126</v>
      </c>
      <c r="B31" s="47"/>
      <c r="E31" s="57">
        <v>11647</v>
      </c>
      <c r="F31" s="47"/>
    </row>
    <row r="32" spans="1:9" ht="15.6" x14ac:dyDescent="0.3">
      <c r="A32" s="46" t="s">
        <v>128</v>
      </c>
      <c r="B32" s="46"/>
      <c r="E32" s="58">
        <f>SUM(E29:E31)</f>
        <v>43776</v>
      </c>
    </row>
    <row r="33" spans="1:9" ht="15.6" x14ac:dyDescent="0.3">
      <c r="A33" s="50" t="s">
        <v>172</v>
      </c>
      <c r="E33" s="57">
        <v>-17078</v>
      </c>
      <c r="F33" s="46"/>
    </row>
    <row r="34" spans="1:9" s="46" customFormat="1" ht="16.2" thickBot="1" x14ac:dyDescent="0.35">
      <c r="A34" s="46" t="s">
        <v>130</v>
      </c>
      <c r="E34" s="61">
        <f>SUM(E32:E33)</f>
        <v>26698</v>
      </c>
      <c r="F34" s="47"/>
    </row>
    <row r="35" spans="1:9" ht="16.2" thickTop="1" x14ac:dyDescent="0.3">
      <c r="F35" s="46"/>
    </row>
    <row r="36" spans="1:9" ht="15.6" x14ac:dyDescent="0.3">
      <c r="F36" s="46"/>
    </row>
    <row r="37" spans="1:9" ht="32.25" customHeight="1" x14ac:dyDescent="0.25">
      <c r="A37" s="407" t="s">
        <v>345</v>
      </c>
      <c r="B37" s="407"/>
      <c r="C37" s="407"/>
      <c r="D37" s="407"/>
      <c r="E37" s="407"/>
      <c r="F37" s="407"/>
      <c r="G37" s="373"/>
    </row>
    <row r="38" spans="1:9" ht="15.6" x14ac:dyDescent="0.3">
      <c r="F38" s="46"/>
    </row>
    <row r="39" spans="1:9" ht="15.6" x14ac:dyDescent="0.3">
      <c r="A39" s="46" t="s">
        <v>118</v>
      </c>
      <c r="B39" s="46"/>
      <c r="E39" s="49">
        <f>SUM(E40:E42,E43)</f>
        <v>95846</v>
      </c>
      <c r="F39" s="46"/>
    </row>
    <row r="40" spans="1:9" ht="15.6" x14ac:dyDescent="0.3">
      <c r="A40" s="50" t="s">
        <v>120</v>
      </c>
      <c r="E40" s="56">
        <f>E34</f>
        <v>26698</v>
      </c>
      <c r="F40" s="46"/>
    </row>
    <row r="41" spans="1:9" ht="15.6" x14ac:dyDescent="0.3">
      <c r="A41" s="50" t="s">
        <v>342</v>
      </c>
      <c r="B41" s="46"/>
      <c r="E41" s="56">
        <v>43646</v>
      </c>
      <c r="F41" s="46"/>
    </row>
    <row r="42" spans="1:9" s="46" customFormat="1" ht="15.6" x14ac:dyDescent="0.3">
      <c r="A42" s="50" t="s">
        <v>122</v>
      </c>
      <c r="B42" s="47"/>
      <c r="E42" s="56">
        <f>7770-1919+7689+317-1085+26219+2787+324+1595+1</f>
        <v>43698</v>
      </c>
      <c r="F42" s="47"/>
    </row>
    <row r="43" spans="1:9" s="46" customFormat="1" ht="16.8" x14ac:dyDescent="0.4">
      <c r="A43" s="50" t="s">
        <v>416</v>
      </c>
      <c r="B43" s="47"/>
      <c r="E43" s="339">
        <f>SUM(E44:E47)</f>
        <v>-18196</v>
      </c>
      <c r="F43" s="47"/>
    </row>
    <row r="44" spans="1:9" s="46" customFormat="1" ht="15.6" x14ac:dyDescent="0.3">
      <c r="A44" s="60" t="s">
        <v>5</v>
      </c>
      <c r="B44" s="47"/>
      <c r="E44" s="56">
        <v>-4631</v>
      </c>
      <c r="F44" s="47"/>
    </row>
    <row r="45" spans="1:9" s="46" customFormat="1" ht="15.6" x14ac:dyDescent="0.3">
      <c r="A45" s="60" t="s">
        <v>106</v>
      </c>
      <c r="B45" s="47"/>
      <c r="E45" s="56">
        <v>-7206</v>
      </c>
      <c r="F45" s="47"/>
    </row>
    <row r="46" spans="1:9" s="46" customFormat="1" ht="15.6" x14ac:dyDescent="0.3">
      <c r="A46" s="60" t="s">
        <v>4</v>
      </c>
      <c r="E46" s="56">
        <v>3343</v>
      </c>
      <c r="F46" s="47"/>
      <c r="H46" s="47"/>
      <c r="I46" s="54"/>
    </row>
    <row r="47" spans="1:9" s="46" customFormat="1" ht="15.6" x14ac:dyDescent="0.3">
      <c r="A47" s="60" t="s">
        <v>127</v>
      </c>
      <c r="B47" s="47"/>
      <c r="E47" s="56">
        <f>-18196-SUM(E44:E46)</f>
        <v>-9702</v>
      </c>
      <c r="F47" s="47"/>
      <c r="H47" s="47"/>
      <c r="I47" s="54"/>
    </row>
    <row r="48" spans="1:9" s="46" customFormat="1" ht="15.6" x14ac:dyDescent="0.3">
      <c r="A48" s="46" t="s">
        <v>129</v>
      </c>
      <c r="E48" s="49">
        <f>SUM(E49:E51)</f>
        <v>-18752</v>
      </c>
      <c r="F48" s="47"/>
      <c r="H48" s="47"/>
      <c r="I48" s="54"/>
    </row>
    <row r="49" spans="1:9" s="46" customFormat="1" ht="15.6" x14ac:dyDescent="0.3">
      <c r="A49" s="50" t="s">
        <v>131</v>
      </c>
      <c r="B49" s="47"/>
      <c r="E49" s="56">
        <v>-43987</v>
      </c>
      <c r="F49" s="47"/>
      <c r="H49" s="47"/>
      <c r="I49" s="54"/>
    </row>
    <row r="50" spans="1:9" s="46" customFormat="1" ht="15.6" x14ac:dyDescent="0.3">
      <c r="A50" s="50" t="s">
        <v>132</v>
      </c>
      <c r="B50" s="47"/>
      <c r="E50" s="56">
        <v>20218</v>
      </c>
      <c r="F50" s="47"/>
      <c r="H50" s="47"/>
      <c r="I50" s="54"/>
    </row>
    <row r="51" spans="1:9" s="46" customFormat="1" ht="15.6" x14ac:dyDescent="0.3">
      <c r="A51" s="50" t="s">
        <v>127</v>
      </c>
      <c r="B51" s="47"/>
      <c r="E51" s="56">
        <f>-18752-SUM(E49:E50)</f>
        <v>5017</v>
      </c>
      <c r="F51" s="47"/>
      <c r="H51" s="47"/>
      <c r="I51" s="54"/>
    </row>
    <row r="52" spans="1:9" s="46" customFormat="1" ht="15.6" x14ac:dyDescent="0.3">
      <c r="A52" s="46" t="s">
        <v>133</v>
      </c>
      <c r="E52" s="49">
        <f>SUM(E53:E56)</f>
        <v>-106076</v>
      </c>
      <c r="F52" s="47"/>
      <c r="H52" s="47"/>
      <c r="I52" s="54"/>
    </row>
    <row r="53" spans="1:9" s="46" customFormat="1" ht="15.6" x14ac:dyDescent="0.3">
      <c r="A53" s="50" t="s">
        <v>134</v>
      </c>
      <c r="B53" s="47"/>
      <c r="E53" s="56">
        <v>38023</v>
      </c>
      <c r="F53" s="47"/>
      <c r="H53" s="47"/>
      <c r="I53" s="54"/>
    </row>
    <row r="54" spans="1:9" s="46" customFormat="1" ht="15.6" x14ac:dyDescent="0.3">
      <c r="A54" s="50" t="s">
        <v>135</v>
      </c>
      <c r="B54" s="47"/>
      <c r="E54" s="56">
        <f>-120524-20959</f>
        <v>-141483</v>
      </c>
      <c r="F54" s="47"/>
      <c r="H54" s="47"/>
      <c r="I54" s="54"/>
    </row>
    <row r="55" spans="1:9" s="46" customFormat="1" ht="15.6" x14ac:dyDescent="0.3">
      <c r="A55" s="50" t="s">
        <v>136</v>
      </c>
      <c r="B55" s="47"/>
      <c r="E55" s="56">
        <f>-2368-678</f>
        <v>-3046</v>
      </c>
      <c r="F55" s="47"/>
      <c r="H55" s="47"/>
      <c r="I55" s="54"/>
    </row>
    <row r="56" spans="1:9" s="46" customFormat="1" ht="15.6" x14ac:dyDescent="0.3">
      <c r="A56" s="50" t="s">
        <v>127</v>
      </c>
      <c r="E56" s="52">
        <f>-106076-SUM(E53:E55)</f>
        <v>430</v>
      </c>
      <c r="F56" s="47"/>
      <c r="H56" s="47"/>
      <c r="I56" s="54"/>
    </row>
    <row r="57" spans="1:9" s="46" customFormat="1" ht="15.6" x14ac:dyDescent="0.3">
      <c r="A57" s="62" t="s">
        <v>137</v>
      </c>
      <c r="B57" s="62"/>
      <c r="E57" s="49">
        <v>8342</v>
      </c>
      <c r="F57" s="47"/>
      <c r="H57" s="47"/>
      <c r="I57" s="54"/>
    </row>
    <row r="58" spans="1:9" s="46" customFormat="1" ht="15.6" x14ac:dyDescent="0.3">
      <c r="A58" s="47" t="s">
        <v>138</v>
      </c>
      <c r="E58" s="52">
        <f>E39+E48+E52+E57</f>
        <v>-20640</v>
      </c>
      <c r="F58" s="47"/>
      <c r="H58" s="47"/>
      <c r="I58" s="54"/>
    </row>
    <row r="59" spans="1:9" s="46" customFormat="1" ht="15.6" x14ac:dyDescent="0.3">
      <c r="A59" s="47" t="s">
        <v>139</v>
      </c>
      <c r="E59" s="52">
        <f>C7</f>
        <v>74494</v>
      </c>
      <c r="F59" s="47"/>
      <c r="H59" s="47"/>
      <c r="I59" s="54"/>
    </row>
    <row r="60" spans="1:9" s="46" customFormat="1" ht="15.6" x14ac:dyDescent="0.3">
      <c r="A60" s="63" t="s">
        <v>140</v>
      </c>
      <c r="B60" s="62"/>
      <c r="E60" s="64">
        <f>B7</f>
        <v>53854</v>
      </c>
      <c r="F60" s="47"/>
      <c r="G60" s="340"/>
      <c r="H60" s="47"/>
      <c r="I60" s="54"/>
    </row>
    <row r="61" spans="1:9" ht="6" customHeight="1" x14ac:dyDescent="0.25"/>
    <row r="62" spans="1:9" x14ac:dyDescent="0.25">
      <c r="A62" s="47" t="s">
        <v>380</v>
      </c>
      <c r="F62" s="65"/>
      <c r="G62" s="65"/>
      <c r="H62" s="65"/>
      <c r="I62" s="65"/>
    </row>
    <row r="63" spans="1:9" x14ac:dyDescent="0.25">
      <c r="F63" s="65"/>
      <c r="G63" s="65"/>
      <c r="H63" s="65"/>
      <c r="I63" s="65"/>
    </row>
    <row r="64" spans="1:9" s="65" customFormat="1" ht="31.2" x14ac:dyDescent="0.3">
      <c r="A64" s="409" t="s">
        <v>339</v>
      </c>
      <c r="B64" s="409"/>
      <c r="C64" s="323" t="s">
        <v>338</v>
      </c>
      <c r="E64" s="323" t="s">
        <v>141</v>
      </c>
    </row>
    <row r="65" spans="1:9" s="65" customFormat="1" ht="17.100000000000001" customHeight="1" x14ac:dyDescent="0.3">
      <c r="A65" s="408" t="s">
        <v>142</v>
      </c>
      <c r="B65" s="408"/>
      <c r="C65" s="374">
        <f>E34/((B18+C18)/2)</f>
        <v>3.1558143438369539E-2</v>
      </c>
      <c r="E65" s="319">
        <v>0.05</v>
      </c>
      <c r="H65" s="66"/>
    </row>
    <row r="66" spans="1:9" s="65" customFormat="1" x14ac:dyDescent="0.3">
      <c r="A66" s="408" t="s">
        <v>143</v>
      </c>
      <c r="B66" s="408"/>
      <c r="C66" s="374">
        <f>E34/((H14+I14)/2)</f>
        <v>9.6530429249103322E-2</v>
      </c>
      <c r="E66" s="319">
        <v>0.12</v>
      </c>
      <c r="F66" s="55"/>
    </row>
    <row r="67" spans="1:9" s="65" customFormat="1" ht="17.100000000000001" customHeight="1" x14ac:dyDescent="0.3">
      <c r="A67" s="408" t="s">
        <v>144</v>
      </c>
      <c r="B67" s="408"/>
      <c r="C67" s="374">
        <f>E34/E23</f>
        <v>7.6315759384397261E-2</v>
      </c>
      <c r="E67" s="319">
        <v>0.1</v>
      </c>
      <c r="F67" s="55"/>
    </row>
    <row r="68" spans="1:9" s="65" customFormat="1" ht="17.100000000000001" customHeight="1" x14ac:dyDescent="0.3">
      <c r="A68" s="408" t="s">
        <v>350</v>
      </c>
      <c r="B68" s="408"/>
      <c r="C68" s="320">
        <f>C66/C65</f>
        <v>3.0588120444290179</v>
      </c>
      <c r="E68" s="320">
        <f>E66/E65</f>
        <v>2.4</v>
      </c>
      <c r="F68" s="55"/>
      <c r="I68" s="67"/>
    </row>
    <row r="69" spans="1:9" s="65" customFormat="1" ht="17.100000000000001" customHeight="1" x14ac:dyDescent="0.3">
      <c r="A69" s="408" t="s">
        <v>145</v>
      </c>
      <c r="B69" s="408"/>
      <c r="C69" s="320">
        <f>B6/((H6+I6)/2)</f>
        <v>1.5991492347009795</v>
      </c>
      <c r="E69" s="320">
        <v>1.4</v>
      </c>
    </row>
    <row r="70" spans="1:9" s="65" customFormat="1" ht="17.100000000000001" customHeight="1" x14ac:dyDescent="0.3">
      <c r="A70" s="408" t="s">
        <v>346</v>
      </c>
      <c r="B70" s="408"/>
      <c r="C70" s="375">
        <f>((B9+C9)/2)/(E23/365)</f>
        <v>20.19396231376988</v>
      </c>
      <c r="E70" s="321">
        <v>30</v>
      </c>
    </row>
    <row r="71" spans="1:9" s="65" customFormat="1" x14ac:dyDescent="0.3">
      <c r="A71" s="408" t="s">
        <v>347</v>
      </c>
      <c r="B71" s="408"/>
      <c r="C71" s="375">
        <f>((B10+C10)/2)/(-E24/365)</f>
        <v>50.954967531170517</v>
      </c>
      <c r="E71" s="321">
        <v>60</v>
      </c>
    </row>
    <row r="72" spans="1:9" s="65" customFormat="1" x14ac:dyDescent="0.3">
      <c r="A72" s="408" t="s">
        <v>348</v>
      </c>
      <c r="B72" s="408"/>
      <c r="C72" s="375">
        <f>((H7+I7)/2)/((B10-C10-E24)/365)</f>
        <v>34.286882525836731</v>
      </c>
      <c r="E72" s="321">
        <v>30</v>
      </c>
    </row>
    <row r="73" spans="1:9" s="65" customFormat="1" ht="17.100000000000001" customHeight="1" x14ac:dyDescent="0.3">
      <c r="A73" s="408" t="s">
        <v>146</v>
      </c>
      <c r="B73" s="408"/>
      <c r="C73" s="375">
        <f>SUM(C70:C71)</f>
        <v>71.148929844940398</v>
      </c>
      <c r="E73" s="321">
        <f>SUM(E70:E71)</f>
        <v>90</v>
      </c>
    </row>
    <row r="74" spans="1:9" s="65" customFormat="1" ht="17.100000000000001" customHeight="1" x14ac:dyDescent="0.3">
      <c r="A74" s="408" t="s">
        <v>147</v>
      </c>
      <c r="B74" s="408"/>
      <c r="C74" s="375">
        <f>C73-C72</f>
        <v>36.862047319103667</v>
      </c>
      <c r="E74" s="321">
        <f>E73-E72</f>
        <v>60</v>
      </c>
    </row>
    <row r="75" spans="1:9" s="65" customFormat="1" x14ac:dyDescent="0.3">
      <c r="A75" s="408" t="s">
        <v>148</v>
      </c>
      <c r="B75" s="408"/>
      <c r="C75" s="320">
        <f>E23/((B18+C18)/2)</f>
        <v>0.4135206632671154</v>
      </c>
      <c r="E75" s="320">
        <v>0.5</v>
      </c>
    </row>
    <row r="76" spans="1:9" s="65" customFormat="1" x14ac:dyDescent="0.3">
      <c r="A76" s="408" t="s">
        <v>149</v>
      </c>
      <c r="B76" s="408"/>
      <c r="C76" s="374">
        <f>(H6+H11)/H18</f>
        <v>0.67048007316905933</v>
      </c>
      <c r="E76" s="319">
        <v>0.6</v>
      </c>
    </row>
    <row r="77" spans="1:9" s="65" customFormat="1" x14ac:dyDescent="0.3">
      <c r="A77" s="408" t="s">
        <v>349</v>
      </c>
      <c r="B77" s="408"/>
      <c r="C77" s="375">
        <f>E29/-E30</f>
        <v>1.9811280422634134</v>
      </c>
      <c r="E77" s="322">
        <v>1.5</v>
      </c>
    </row>
    <row r="78" spans="1:9" s="65" customFormat="1" x14ac:dyDescent="0.3"/>
    <row r="79" spans="1:9" s="46" customFormat="1" ht="15.6" x14ac:dyDescent="0.3">
      <c r="A79" s="324" t="s">
        <v>150</v>
      </c>
    </row>
    <row r="80" spans="1:9" ht="15.9" customHeight="1" x14ac:dyDescent="0.25">
      <c r="A80" s="47" t="s">
        <v>333</v>
      </c>
    </row>
    <row r="81" spans="1:1" ht="15.9" customHeight="1" x14ac:dyDescent="0.25">
      <c r="A81" s="47" t="s">
        <v>151</v>
      </c>
    </row>
    <row r="82" spans="1:1" ht="15.9" customHeight="1" x14ac:dyDescent="0.25">
      <c r="A82" s="55" t="s">
        <v>152</v>
      </c>
    </row>
    <row r="83" spans="1:1" ht="15.9" customHeight="1" x14ac:dyDescent="0.25">
      <c r="A83" s="55" t="s">
        <v>351</v>
      </c>
    </row>
    <row r="84" spans="1:1" ht="15.9" customHeight="1" x14ac:dyDescent="0.25">
      <c r="A84" s="55" t="s">
        <v>153</v>
      </c>
    </row>
    <row r="85" spans="1:1" ht="15.9" customHeight="1" x14ac:dyDescent="0.25">
      <c r="A85" s="55" t="s">
        <v>335</v>
      </c>
    </row>
    <row r="86" spans="1:1" ht="15.9" customHeight="1" x14ac:dyDescent="0.25">
      <c r="A86" s="55" t="s">
        <v>336</v>
      </c>
    </row>
    <row r="87" spans="1:1" ht="15.9" customHeight="1" x14ac:dyDescent="0.25">
      <c r="A87" s="55" t="s">
        <v>337</v>
      </c>
    </row>
    <row r="88" spans="1:1" ht="15.9" customHeight="1" x14ac:dyDescent="0.25">
      <c r="A88" s="55" t="s">
        <v>154</v>
      </c>
    </row>
    <row r="89" spans="1:1" ht="15.9" customHeight="1" x14ac:dyDescent="0.25">
      <c r="A89" s="55" t="s">
        <v>155</v>
      </c>
    </row>
    <row r="90" spans="1:1" x14ac:dyDescent="0.25">
      <c r="A90" s="55" t="s">
        <v>334</v>
      </c>
    </row>
    <row r="91" spans="1:1" x14ac:dyDescent="0.25">
      <c r="A91" s="55" t="s">
        <v>156</v>
      </c>
    </row>
    <row r="92" spans="1:1" x14ac:dyDescent="0.25">
      <c r="A92" s="55" t="s">
        <v>352</v>
      </c>
    </row>
    <row r="94" spans="1:1" x14ac:dyDescent="0.25">
      <c r="A94" s="47" t="s">
        <v>461</v>
      </c>
    </row>
    <row r="95" spans="1:1" x14ac:dyDescent="0.25">
      <c r="A95" s="47" t="s">
        <v>462</v>
      </c>
    </row>
    <row r="96" spans="1:1" x14ac:dyDescent="0.25">
      <c r="A96" s="47" t="s">
        <v>463</v>
      </c>
    </row>
    <row r="97" spans="1:1" x14ac:dyDescent="0.25">
      <c r="A97" s="47" t="s">
        <v>464</v>
      </c>
    </row>
    <row r="98" spans="1:1" x14ac:dyDescent="0.25">
      <c r="A98" s="47" t="s">
        <v>465</v>
      </c>
    </row>
    <row r="99" spans="1:1" x14ac:dyDescent="0.25">
      <c r="A99" s="47" t="s">
        <v>466</v>
      </c>
    </row>
    <row r="100" spans="1:1" x14ac:dyDescent="0.25">
      <c r="A100" s="47" t="s">
        <v>467</v>
      </c>
    </row>
    <row r="101" spans="1:1" x14ac:dyDescent="0.25">
      <c r="A101" s="47" t="s">
        <v>468</v>
      </c>
    </row>
    <row r="102" spans="1:1" x14ac:dyDescent="0.25">
      <c r="A102" s="47" t="s">
        <v>469</v>
      </c>
    </row>
  </sheetData>
  <mergeCells count="16">
    <mergeCell ref="A73:B73"/>
    <mergeCell ref="A74:B74"/>
    <mergeCell ref="A75:B75"/>
    <mergeCell ref="A76:B76"/>
    <mergeCell ref="A77:B77"/>
    <mergeCell ref="A72:B72"/>
    <mergeCell ref="A64:B64"/>
    <mergeCell ref="A65:B65"/>
    <mergeCell ref="A66:B66"/>
    <mergeCell ref="A67:B67"/>
    <mergeCell ref="A68:B68"/>
    <mergeCell ref="A21:F21"/>
    <mergeCell ref="A37:F37"/>
    <mergeCell ref="A69:B69"/>
    <mergeCell ref="A70:B70"/>
    <mergeCell ref="A71:B71"/>
  </mergeCells>
  <pageMargins left="0.511811024" right="0.511811024" top="0.78740157499999996" bottom="0.78740157499999996" header="0.31496062000000002" footer="0.31496062000000002"/>
  <pageSetup paperSize="9" scale="74" orientation="portrait" r:id="rId1"/>
  <rowBreaks count="1" manualBreakCount="1">
    <brk id="60" max="16383" man="1"/>
  </rowBreaks>
  <ignoredErrors>
    <ignoredError sqref="E73"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Q2 planilha</vt:lpstr>
      <vt:lpstr>Resp Q1</vt:lpstr>
      <vt:lpstr>Resp Q2</vt:lpstr>
      <vt:lpstr>Resp Q3</vt:lpstr>
      <vt:lpstr>Resp Q4</vt:lpstr>
      <vt:lpstr>Resp Q5</vt:lpstr>
      <vt:lpstr>Resp Q6</vt:lpstr>
      <vt:lpstr>Q3 Anexo</vt:lpstr>
      <vt:lpstr>'Resp Q4'!OLE_LINK1</vt:lpstr>
      <vt:lpstr>'Resp Q1'!Print_Area</vt:lpstr>
      <vt:lpstr>'Resp Q2'!Print_Area</vt:lpstr>
      <vt:lpstr>'Resp Q3'!Print_Area</vt:lpstr>
      <vt:lpstr>'Resp Q4'!Print_Area</vt:lpstr>
      <vt:lpstr>'Resp Q5'!Print_Area</vt:lpstr>
      <vt:lpstr>'Resp Q6'!Print_Area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Leandro Daniel</cp:lastModifiedBy>
  <cp:lastPrinted>2019-11-19T17:36:19Z</cp:lastPrinted>
  <dcterms:created xsi:type="dcterms:W3CDTF">2019-05-20T13:29:56Z</dcterms:created>
  <dcterms:modified xsi:type="dcterms:W3CDTF">2019-12-13T19:37:59Z</dcterms:modified>
</cp:coreProperties>
</file>