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Administrator\Desktop\gsp_office_conv\tmp\all_cmrt_versions\all_cmrt_versions\2.00\"/>
    </mc:Choice>
  </mc:AlternateContent>
  <bookViews>
    <workbookView xWindow="0" yWindow="0" windowWidth="28800" windowHeight="14235" tabRatio="675" firstSheet="1" activeTab="3"/>
  </bookViews>
  <sheets>
    <sheet name="Revision" sheetId="1" state="hidden" r:id="rId1"/>
    <sheet name="Instructions" sheetId="2" r:id="rId2"/>
    <sheet name="Definitions" sheetId="3" r:id="rId3"/>
    <sheet name="Declaration" sheetId="4" r:id="rId4"/>
    <sheet name="Smelter List" sheetId="5" r:id="rId5"/>
    <sheet name="Standard Smelter Names" sheetId="12" r:id="rId6"/>
    <sheet name="Checker" sheetId="10" r:id="rId7"/>
    <sheet name="Product List" sheetId="11" r:id="rId8"/>
  </sheets>
  <definedNames>
    <definedName name="_xlnm._FilterDatabase" localSheetId="5" hidden="1">'Standard Smelter Names'!$A$2:$O$153</definedName>
    <definedName name="Gold">'Smelter List'!$G$1022:$G$1184</definedName>
    <definedName name="Metal">'Smelter List'!$F$1022:$F$1025</definedName>
    <definedName name="Tantalum">'Smelter List'!$G$1255:$G$1289</definedName>
    <definedName name="Tin">'Smelter List'!$G$1185:$G$1254</definedName>
    <definedName name="Tungsten">'Smelter List'!$G$1290:$G$1309</definedName>
    <definedName name="Z_81CF54B1_70AB_4A68_BB72_21925B5D4874_.wvu.Cols" localSheetId="3" hidden="1">Declaration!$M:$U</definedName>
    <definedName name="Z_81CF54B1_70AB_4A68_BB72_21925B5D4874_.wvu.Cols" localSheetId="2" hidden="1">Definitions!$L:$W</definedName>
    <definedName name="Z_81CF54B1_70AB_4A68_BB72_21925B5D4874_.wvu.Cols" localSheetId="1" hidden="1">Instructions!$I:$L</definedName>
    <definedName name="Z_81CF54B1_70AB_4A68_BB72_21925B5D4874_.wvu.Cols" localSheetId="4" hidden="1">'Smelter List'!$Q:$T</definedName>
  </definedNames>
  <calcPr calcId="152511"/>
  <customWorkbookViews>
    <customWorkbookView name="Connors, Jared M - Personal View" guid="{81CF54B1-70AB-4A68-BB72-21925B5D4874}" mergeInterval="0" personalView="1" maximized="1" xWindow="1" yWindow="1" windowWidth="1436" windowHeight="673" tabRatio="675" activeSheetId="4"/>
  </customWorkbookViews>
</workbook>
</file>

<file path=xl/calcChain.xml><?xml version="1.0" encoding="utf-8"?>
<calcChain xmlns="http://schemas.openxmlformats.org/spreadsheetml/2006/main">
  <c r="A43" i="2" l="1"/>
  <c r="A45" i="2"/>
  <c r="A7" i="5"/>
  <c r="A8" i="5"/>
  <c r="A9" i="5"/>
  <c r="A10" i="5"/>
  <c r="A11" i="5"/>
  <c r="A12" i="5"/>
  <c r="A13" i="5"/>
  <c r="A15" i="5"/>
  <c r="A16" i="5"/>
  <c r="A17" i="5"/>
  <c r="A18" i="5"/>
  <c r="A19" i="5"/>
  <c r="A20" i="5"/>
  <c r="A21" i="5"/>
  <c r="A23" i="5"/>
  <c r="A24" i="5"/>
  <c r="A25" i="5"/>
  <c r="A26" i="5"/>
  <c r="A27" i="5"/>
  <c r="A28" i="5"/>
  <c r="A29" i="5"/>
  <c r="A31" i="5"/>
  <c r="A32" i="5"/>
  <c r="D33" i="5"/>
  <c r="A33" i="5" s="1"/>
  <c r="E33" i="5"/>
  <c r="D34" i="5"/>
  <c r="A34" i="5"/>
  <c r="E34" i="5"/>
  <c r="D35" i="5"/>
  <c r="A35" i="5" s="1"/>
  <c r="E35" i="5"/>
  <c r="D36" i="5"/>
  <c r="A36" i="5" s="1"/>
  <c r="E36" i="5"/>
  <c r="D37" i="5"/>
  <c r="A37" i="5" s="1"/>
  <c r="E37" i="5"/>
  <c r="D38" i="5"/>
  <c r="E38" i="5"/>
  <c r="D39" i="5"/>
  <c r="A39" i="5"/>
  <c r="E39" i="5"/>
  <c r="D40" i="5"/>
  <c r="A40" i="5" s="1"/>
  <c r="E40" i="5"/>
  <c r="D41" i="5"/>
  <c r="A41" i="5" s="1"/>
  <c r="E41" i="5"/>
  <c r="D42" i="5"/>
  <c r="A42" i="5" s="1"/>
  <c r="E42" i="5"/>
  <c r="D43" i="5"/>
  <c r="A43" i="5"/>
  <c r="E43" i="5"/>
  <c r="D44" i="5"/>
  <c r="A44" i="5" s="1"/>
  <c r="E44" i="5"/>
  <c r="D45" i="5"/>
  <c r="A45" i="5" s="1"/>
  <c r="E45" i="5"/>
  <c r="D46" i="5"/>
  <c r="E46" i="5"/>
  <c r="D47" i="5"/>
  <c r="A47" i="5" s="1"/>
  <c r="E47" i="5"/>
  <c r="D48" i="5"/>
  <c r="A48" i="5"/>
  <c r="E48" i="5"/>
  <c r="D49" i="5"/>
  <c r="A49" i="5" s="1"/>
  <c r="E49" i="5"/>
  <c r="D50" i="5"/>
  <c r="A50" i="5" s="1"/>
  <c r="E50" i="5"/>
  <c r="D51" i="5"/>
  <c r="A51" i="5" s="1"/>
  <c r="E51" i="5"/>
  <c r="D52" i="5"/>
  <c r="A52" i="5"/>
  <c r="E52" i="5"/>
  <c r="D53" i="5"/>
  <c r="A53" i="5" s="1"/>
  <c r="E53" i="5"/>
  <c r="D54" i="5"/>
  <c r="E54" i="5"/>
  <c r="D55" i="5"/>
  <c r="A55" i="5" s="1"/>
  <c r="E55" i="5"/>
  <c r="D56" i="5"/>
  <c r="A56" i="5" s="1"/>
  <c r="E56" i="5"/>
  <c r="D57" i="5"/>
  <c r="A57" i="5"/>
  <c r="E57" i="5"/>
  <c r="D58" i="5"/>
  <c r="A58" i="5" s="1"/>
  <c r="E58" i="5"/>
  <c r="D59" i="5"/>
  <c r="A59" i="5" s="1"/>
  <c r="E59" i="5"/>
  <c r="D60" i="5"/>
  <c r="A60" i="5" s="1"/>
  <c r="E60" i="5"/>
  <c r="D61" i="5"/>
  <c r="A61" i="5"/>
  <c r="E61" i="5"/>
  <c r="D62" i="5"/>
  <c r="E62" i="5"/>
  <c r="D63" i="5"/>
  <c r="A63" i="5" s="1"/>
  <c r="E63" i="5"/>
  <c r="D64" i="5"/>
  <c r="A64" i="5" s="1"/>
  <c r="E64" i="5"/>
  <c r="D65" i="5"/>
  <c r="A65" i="5" s="1"/>
  <c r="E65" i="5"/>
  <c r="D66" i="5"/>
  <c r="A66" i="5"/>
  <c r="E66" i="5"/>
  <c r="D67" i="5"/>
  <c r="A67" i="5" s="1"/>
  <c r="E67" i="5"/>
  <c r="D68" i="5"/>
  <c r="A68" i="5" s="1"/>
  <c r="E68" i="5"/>
  <c r="D69" i="5"/>
  <c r="A69" i="5" s="1"/>
  <c r="E69" i="5"/>
  <c r="D70" i="5"/>
  <c r="E70" i="5"/>
  <c r="D71" i="5"/>
  <c r="A71" i="5"/>
  <c r="E71" i="5"/>
  <c r="D72" i="5"/>
  <c r="A72" i="5" s="1"/>
  <c r="E72" i="5"/>
  <c r="D73" i="5"/>
  <c r="A73" i="5" s="1"/>
  <c r="E73" i="5"/>
  <c r="D74" i="5"/>
  <c r="A74" i="5" s="1"/>
  <c r="E74" i="5"/>
  <c r="D75" i="5"/>
  <c r="A75" i="5"/>
  <c r="E75" i="5"/>
  <c r="D76" i="5"/>
  <c r="A76" i="5" s="1"/>
  <c r="E76" i="5"/>
  <c r="D77" i="5"/>
  <c r="A77" i="5" s="1"/>
  <c r="E77" i="5"/>
  <c r="D78" i="5"/>
  <c r="E78" i="5"/>
  <c r="D79" i="5"/>
  <c r="A79" i="5" s="1"/>
  <c r="E79" i="5"/>
  <c r="D80" i="5"/>
  <c r="A80" i="5"/>
  <c r="E80" i="5"/>
  <c r="D81" i="5"/>
  <c r="A81" i="5" s="1"/>
  <c r="E81" i="5"/>
  <c r="D82" i="5"/>
  <c r="A82" i="5" s="1"/>
  <c r="E82" i="5"/>
  <c r="D83" i="5"/>
  <c r="A83" i="5" s="1"/>
  <c r="E83" i="5"/>
  <c r="D84" i="5"/>
  <c r="A84" i="5"/>
  <c r="E84" i="5"/>
  <c r="D85" i="5"/>
  <c r="A85" i="5" s="1"/>
  <c r="E85" i="5"/>
  <c r="D86" i="5"/>
  <c r="E86" i="5"/>
  <c r="D87" i="5"/>
  <c r="A87" i="5" s="1"/>
  <c r="E87" i="5"/>
  <c r="D88" i="5"/>
  <c r="A88" i="5" s="1"/>
  <c r="E88" i="5"/>
  <c r="D89" i="5"/>
  <c r="A89" i="5"/>
  <c r="E89" i="5"/>
  <c r="D90" i="5"/>
  <c r="A90" i="5" s="1"/>
  <c r="E90" i="5"/>
  <c r="D91" i="5"/>
  <c r="A91" i="5" s="1"/>
  <c r="E91" i="5"/>
  <c r="D92" i="5"/>
  <c r="A92" i="5" s="1"/>
  <c r="E92" i="5"/>
  <c r="D93" i="5"/>
  <c r="A93" i="5"/>
  <c r="E93" i="5"/>
  <c r="D94" i="5"/>
  <c r="A94" i="5" s="1"/>
  <c r="E94" i="5"/>
  <c r="D95" i="5"/>
  <c r="A95" i="5" s="1"/>
  <c r="E95" i="5"/>
  <c r="D96" i="5"/>
  <c r="A96" i="5" s="1"/>
  <c r="E96" i="5"/>
  <c r="D97" i="5"/>
  <c r="A97" i="5" s="1"/>
  <c r="E97" i="5"/>
  <c r="D98" i="5"/>
  <c r="A98" i="5"/>
  <c r="E98" i="5"/>
  <c r="D99" i="5"/>
  <c r="A99" i="5" s="1"/>
  <c r="E99" i="5"/>
  <c r="D100" i="5"/>
  <c r="A100" i="5" s="1"/>
  <c r="E100" i="5"/>
  <c r="D101" i="5"/>
  <c r="A101" i="5" s="1"/>
  <c r="E101" i="5"/>
  <c r="D102" i="5"/>
  <c r="E102" i="5"/>
  <c r="D103" i="5"/>
  <c r="A103" i="5"/>
  <c r="E103" i="5"/>
  <c r="D104" i="5"/>
  <c r="A104" i="5" s="1"/>
  <c r="E104" i="5"/>
  <c r="D105" i="5"/>
  <c r="A105" i="5" s="1"/>
  <c r="E105" i="5"/>
  <c r="D106" i="5"/>
  <c r="A106" i="5" s="1"/>
  <c r="E106" i="5"/>
  <c r="D107" i="5"/>
  <c r="A107" i="5"/>
  <c r="E107" i="5"/>
  <c r="D108" i="5"/>
  <c r="A108" i="5" s="1"/>
  <c r="E108" i="5"/>
  <c r="D109" i="5"/>
  <c r="A109" i="5" s="1"/>
  <c r="E109" i="5"/>
  <c r="D110" i="5"/>
  <c r="E110" i="5"/>
  <c r="D111" i="5"/>
  <c r="A111" i="5" s="1"/>
  <c r="E111" i="5"/>
  <c r="D112" i="5"/>
  <c r="A112" i="5"/>
  <c r="E112" i="5"/>
  <c r="D113" i="5"/>
  <c r="A113" i="5" s="1"/>
  <c r="E113" i="5"/>
  <c r="D114" i="5"/>
  <c r="A114" i="5" s="1"/>
  <c r="E114" i="5"/>
  <c r="D115" i="5"/>
  <c r="A115" i="5" s="1"/>
  <c r="E115" i="5"/>
  <c r="D116" i="5"/>
  <c r="A116" i="5"/>
  <c r="E116" i="5"/>
  <c r="D117" i="5"/>
  <c r="A117" i="5" s="1"/>
  <c r="E117" i="5"/>
  <c r="D118" i="5"/>
  <c r="E118" i="5"/>
  <c r="D119" i="5"/>
  <c r="A119" i="5" s="1"/>
  <c r="E119" i="5"/>
  <c r="D120" i="5"/>
  <c r="A120" i="5" s="1"/>
  <c r="E120" i="5"/>
  <c r="D121" i="5"/>
  <c r="A121" i="5"/>
  <c r="E121" i="5"/>
  <c r="D122" i="5"/>
  <c r="A122" i="5" s="1"/>
  <c r="E122" i="5"/>
  <c r="D123" i="5"/>
  <c r="A123" i="5" s="1"/>
  <c r="E123" i="5"/>
  <c r="D124" i="5"/>
  <c r="A124" i="5" s="1"/>
  <c r="E124" i="5"/>
  <c r="D125" i="5"/>
  <c r="A125" i="5"/>
  <c r="E125" i="5"/>
  <c r="D126" i="5"/>
  <c r="E126" i="5"/>
  <c r="D127" i="5"/>
  <c r="A127" i="5" s="1"/>
  <c r="E127" i="5"/>
  <c r="D128" i="5"/>
  <c r="A128" i="5" s="1"/>
  <c r="E128" i="5"/>
  <c r="D129" i="5"/>
  <c r="A129" i="5" s="1"/>
  <c r="E129" i="5"/>
  <c r="D130" i="5"/>
  <c r="A130" i="5"/>
  <c r="E130" i="5"/>
  <c r="D131" i="5"/>
  <c r="A131" i="5" s="1"/>
  <c r="E131" i="5"/>
  <c r="D132" i="5"/>
  <c r="A132" i="5" s="1"/>
  <c r="E132" i="5"/>
  <c r="D133" i="5"/>
  <c r="A133" i="5" s="1"/>
  <c r="E133" i="5"/>
  <c r="D134" i="5"/>
  <c r="E134" i="5"/>
  <c r="D135" i="5"/>
  <c r="A135" i="5"/>
  <c r="E135" i="5"/>
  <c r="D136" i="5"/>
  <c r="A136" i="5" s="1"/>
  <c r="E136" i="5"/>
  <c r="D137" i="5"/>
  <c r="A137" i="5" s="1"/>
  <c r="E137" i="5"/>
  <c r="D138" i="5"/>
  <c r="A138" i="5" s="1"/>
  <c r="E138" i="5"/>
  <c r="D139" i="5"/>
  <c r="A139" i="5"/>
  <c r="E139" i="5"/>
  <c r="D140" i="5"/>
  <c r="A140" i="5" s="1"/>
  <c r="E140" i="5"/>
  <c r="D141" i="5"/>
  <c r="A141" i="5" s="1"/>
  <c r="E141" i="5"/>
  <c r="D142" i="5"/>
  <c r="E142" i="5"/>
  <c r="D143" i="5"/>
  <c r="A143" i="5" s="1"/>
  <c r="E143" i="5"/>
  <c r="D144" i="5"/>
  <c r="A144" i="5"/>
  <c r="E144" i="5"/>
  <c r="D145" i="5"/>
  <c r="A145" i="5" s="1"/>
  <c r="E145" i="5"/>
  <c r="D146" i="5"/>
  <c r="A146" i="5" s="1"/>
  <c r="E146" i="5"/>
  <c r="D147" i="5"/>
  <c r="A147" i="5" s="1"/>
  <c r="E147" i="5"/>
  <c r="D148" i="5"/>
  <c r="A148" i="5"/>
  <c r="E148" i="5"/>
  <c r="D149" i="5"/>
  <c r="A149" i="5" s="1"/>
  <c r="E149" i="5"/>
  <c r="D150" i="5"/>
  <c r="E150" i="5"/>
  <c r="D151" i="5"/>
  <c r="A151" i="5" s="1"/>
  <c r="E151" i="5"/>
  <c r="D152" i="5"/>
  <c r="A152" i="5" s="1"/>
  <c r="E152" i="5"/>
  <c r="D153" i="5"/>
  <c r="A153" i="5"/>
  <c r="E153" i="5"/>
  <c r="D154" i="5"/>
  <c r="A154" i="5" s="1"/>
  <c r="E154" i="5"/>
  <c r="D155" i="5"/>
  <c r="A155" i="5" s="1"/>
  <c r="E155" i="5"/>
  <c r="D156" i="5"/>
  <c r="A156" i="5" s="1"/>
  <c r="E156" i="5"/>
  <c r="D157" i="5"/>
  <c r="A157" i="5"/>
  <c r="E157" i="5"/>
  <c r="D158" i="5"/>
  <c r="A158" i="5" s="1"/>
  <c r="E158" i="5"/>
  <c r="D159" i="5"/>
  <c r="A159" i="5" s="1"/>
  <c r="E159" i="5"/>
  <c r="D160" i="5"/>
  <c r="A160" i="5" s="1"/>
  <c r="E160" i="5"/>
  <c r="D161" i="5"/>
  <c r="A161" i="5" s="1"/>
  <c r="E161" i="5"/>
  <c r="D162" i="5"/>
  <c r="A162" i="5"/>
  <c r="E162" i="5"/>
  <c r="D163" i="5"/>
  <c r="A163" i="5" s="1"/>
  <c r="E163" i="5"/>
  <c r="D164" i="5"/>
  <c r="A164" i="5" s="1"/>
  <c r="E164" i="5"/>
  <c r="D165" i="5"/>
  <c r="A165" i="5" s="1"/>
  <c r="E165" i="5"/>
  <c r="D166" i="5"/>
  <c r="E166" i="5"/>
  <c r="D167" i="5"/>
  <c r="A167" i="5"/>
  <c r="E167" i="5"/>
  <c r="D168" i="5"/>
  <c r="A168" i="5" s="1"/>
  <c r="E168" i="5"/>
  <c r="D169" i="5"/>
  <c r="A169" i="5" s="1"/>
  <c r="E169" i="5"/>
  <c r="D170" i="5"/>
  <c r="A170" i="5" s="1"/>
  <c r="E170" i="5"/>
  <c r="D171" i="5"/>
  <c r="A171" i="5"/>
  <c r="E171" i="5"/>
  <c r="D172" i="5"/>
  <c r="A172" i="5" s="1"/>
  <c r="E172" i="5"/>
  <c r="D173" i="5"/>
  <c r="A173" i="5" s="1"/>
  <c r="E173" i="5"/>
  <c r="D174" i="5"/>
  <c r="E174" i="5"/>
  <c r="D175" i="5"/>
  <c r="A175" i="5" s="1"/>
  <c r="E175" i="5"/>
  <c r="D176" i="5"/>
  <c r="A176" i="5"/>
  <c r="E176" i="5"/>
  <c r="D177" i="5"/>
  <c r="A177" i="5" s="1"/>
  <c r="E177" i="5"/>
  <c r="D178" i="5"/>
  <c r="A178" i="5" s="1"/>
  <c r="E178" i="5"/>
  <c r="D179" i="5"/>
  <c r="A179" i="5" s="1"/>
  <c r="E179" i="5"/>
  <c r="D180" i="5"/>
  <c r="A180" i="5"/>
  <c r="E180" i="5"/>
  <c r="D181" i="5"/>
  <c r="A181" i="5" s="1"/>
  <c r="E181" i="5"/>
  <c r="D182" i="5"/>
  <c r="E182" i="5"/>
  <c r="D183" i="5"/>
  <c r="A183" i="5" s="1"/>
  <c r="E183" i="5"/>
  <c r="D184" i="5"/>
  <c r="A184" i="5" s="1"/>
  <c r="E184" i="5"/>
  <c r="D185" i="5"/>
  <c r="A185" i="5"/>
  <c r="E185" i="5"/>
  <c r="D186" i="5"/>
  <c r="A186" i="5" s="1"/>
  <c r="E186" i="5"/>
  <c r="D187" i="5"/>
  <c r="A187" i="5" s="1"/>
  <c r="E187" i="5"/>
  <c r="D188" i="5"/>
  <c r="A188" i="5" s="1"/>
  <c r="E188" i="5"/>
  <c r="D189" i="5"/>
  <c r="A189" i="5"/>
  <c r="E189" i="5"/>
  <c r="D190" i="5"/>
  <c r="E190" i="5"/>
  <c r="D191" i="5"/>
  <c r="A191" i="5" s="1"/>
  <c r="E191" i="5"/>
  <c r="D192" i="5"/>
  <c r="A192" i="5" s="1"/>
  <c r="E192" i="5"/>
  <c r="D193" i="5"/>
  <c r="A193" i="5" s="1"/>
  <c r="E193" i="5"/>
  <c r="D194" i="5"/>
  <c r="A194" i="5"/>
  <c r="E194" i="5"/>
  <c r="D195" i="5"/>
  <c r="A195" i="5" s="1"/>
  <c r="E195" i="5"/>
  <c r="D196" i="5"/>
  <c r="A196" i="5" s="1"/>
  <c r="E196" i="5"/>
  <c r="D197" i="5"/>
  <c r="A197" i="5" s="1"/>
  <c r="E197" i="5"/>
  <c r="D198" i="5"/>
  <c r="E198" i="5"/>
  <c r="D199" i="5"/>
  <c r="A199" i="5"/>
  <c r="E199" i="5"/>
  <c r="D200" i="5"/>
  <c r="A200" i="5" s="1"/>
  <c r="E200" i="5"/>
  <c r="D201" i="5"/>
  <c r="A201" i="5" s="1"/>
  <c r="E201" i="5"/>
  <c r="D202" i="5"/>
  <c r="A202" i="5" s="1"/>
  <c r="E202" i="5"/>
  <c r="D203" i="5"/>
  <c r="A203" i="5"/>
  <c r="E203" i="5"/>
  <c r="D204" i="5"/>
  <c r="A204" i="5" s="1"/>
  <c r="E204" i="5"/>
  <c r="D205" i="5"/>
  <c r="A205" i="5" s="1"/>
  <c r="E205" i="5"/>
  <c r="D206" i="5"/>
  <c r="E206" i="5"/>
  <c r="D207" i="5"/>
  <c r="A207" i="5" s="1"/>
  <c r="E207" i="5"/>
  <c r="D208" i="5"/>
  <c r="A208" i="5"/>
  <c r="E208" i="5"/>
  <c r="D209" i="5"/>
  <c r="A209" i="5" s="1"/>
  <c r="E209" i="5"/>
  <c r="D210" i="5"/>
  <c r="A210" i="5" s="1"/>
  <c r="E210" i="5"/>
  <c r="D211" i="5"/>
  <c r="A211" i="5" s="1"/>
  <c r="E211" i="5"/>
  <c r="D212" i="5"/>
  <c r="A212" i="5"/>
  <c r="E212" i="5"/>
  <c r="D213" i="5"/>
  <c r="A213" i="5" s="1"/>
  <c r="E213" i="5"/>
  <c r="D214" i="5"/>
  <c r="E214" i="5"/>
  <c r="D215" i="5"/>
  <c r="A215" i="5" s="1"/>
  <c r="E215" i="5"/>
  <c r="D216" i="5"/>
  <c r="A216" i="5" s="1"/>
  <c r="E216" i="5"/>
  <c r="D217" i="5"/>
  <c r="A217" i="5"/>
  <c r="E217" i="5"/>
  <c r="D218" i="5"/>
  <c r="A218" i="5" s="1"/>
  <c r="E218" i="5"/>
  <c r="D219" i="5"/>
  <c r="A219" i="5" s="1"/>
  <c r="E219" i="5"/>
  <c r="D220" i="5"/>
  <c r="A220" i="5" s="1"/>
  <c r="E220" i="5"/>
  <c r="D221" i="5"/>
  <c r="A221" i="5"/>
  <c r="E221" i="5"/>
  <c r="D222" i="5"/>
  <c r="A222" i="5" s="1"/>
  <c r="E222" i="5"/>
  <c r="D223" i="5"/>
  <c r="A223" i="5" s="1"/>
  <c r="E223" i="5"/>
  <c r="D224" i="5"/>
  <c r="A224" i="5" s="1"/>
  <c r="E224" i="5"/>
  <c r="D225" i="5"/>
  <c r="A225" i="5" s="1"/>
  <c r="E225" i="5"/>
  <c r="D226" i="5"/>
  <c r="A226" i="5"/>
  <c r="E226" i="5"/>
  <c r="D227" i="5"/>
  <c r="A227" i="5" s="1"/>
  <c r="E227" i="5"/>
  <c r="D228" i="5"/>
  <c r="A228" i="5" s="1"/>
  <c r="E228" i="5"/>
  <c r="D229" i="5"/>
  <c r="A229" i="5" s="1"/>
  <c r="E229" i="5"/>
  <c r="D230" i="5"/>
  <c r="E230" i="5"/>
  <c r="D231" i="5"/>
  <c r="A231" i="5"/>
  <c r="E231" i="5"/>
  <c r="D232" i="5"/>
  <c r="A232" i="5" s="1"/>
  <c r="E232" i="5"/>
  <c r="D233" i="5"/>
  <c r="A233" i="5" s="1"/>
  <c r="E233" i="5"/>
  <c r="D234" i="5"/>
  <c r="A234" i="5" s="1"/>
  <c r="E234" i="5"/>
  <c r="D235" i="5"/>
  <c r="A235" i="5"/>
  <c r="E235" i="5"/>
  <c r="D236" i="5"/>
  <c r="A236" i="5" s="1"/>
  <c r="E236" i="5"/>
  <c r="D237" i="5"/>
  <c r="A237" i="5" s="1"/>
  <c r="E237" i="5"/>
  <c r="D238" i="5"/>
  <c r="A238" i="5" s="1"/>
  <c r="E238" i="5"/>
  <c r="D239" i="5"/>
  <c r="A239" i="5"/>
  <c r="E239" i="5"/>
  <c r="D240" i="5"/>
  <c r="A240" i="5" s="1"/>
  <c r="E240" i="5"/>
  <c r="D241" i="5"/>
  <c r="A241" i="5" s="1"/>
  <c r="E241" i="5"/>
  <c r="D242" i="5"/>
  <c r="A242" i="5" s="1"/>
  <c r="E242" i="5"/>
  <c r="D243" i="5"/>
  <c r="A243" i="5"/>
  <c r="E243" i="5"/>
  <c r="D244" i="5"/>
  <c r="A244" i="5" s="1"/>
  <c r="E244" i="5"/>
  <c r="D245" i="5"/>
  <c r="A245" i="5" s="1"/>
  <c r="E245" i="5"/>
  <c r="D246" i="5"/>
  <c r="E246" i="5"/>
  <c r="D247" i="5"/>
  <c r="A247" i="5" s="1"/>
  <c r="E247" i="5"/>
  <c r="D248" i="5"/>
  <c r="A248" i="5"/>
  <c r="E248" i="5"/>
  <c r="D249" i="5"/>
  <c r="A249" i="5" s="1"/>
  <c r="E249" i="5"/>
  <c r="D250" i="5"/>
  <c r="A250" i="5" s="1"/>
  <c r="E250" i="5"/>
  <c r="D251" i="5"/>
  <c r="A251" i="5" s="1"/>
  <c r="E251" i="5"/>
  <c r="D252" i="5"/>
  <c r="A252" i="5"/>
  <c r="E252" i="5"/>
  <c r="D253" i="5"/>
  <c r="A253" i="5" s="1"/>
  <c r="E253" i="5"/>
  <c r="D254" i="5"/>
  <c r="A254" i="5" s="1"/>
  <c r="E254" i="5"/>
  <c r="D255" i="5"/>
  <c r="A255" i="5" s="1"/>
  <c r="E255" i="5"/>
  <c r="D256" i="5"/>
  <c r="A256" i="5"/>
  <c r="E256" i="5"/>
  <c r="D257" i="5"/>
  <c r="A257" i="5" s="1"/>
  <c r="E257" i="5"/>
  <c r="D258" i="5"/>
  <c r="A258" i="5" s="1"/>
  <c r="E258" i="5"/>
  <c r="D259" i="5"/>
  <c r="A259" i="5" s="1"/>
  <c r="E259" i="5"/>
  <c r="D260" i="5"/>
  <c r="A260" i="5"/>
  <c r="E260" i="5"/>
  <c r="D261" i="5"/>
  <c r="A261" i="5" s="1"/>
  <c r="E261" i="5"/>
  <c r="D262" i="5"/>
  <c r="A262" i="5" s="1"/>
  <c r="E262" i="5"/>
  <c r="D263" i="5"/>
  <c r="A263" i="5" s="1"/>
  <c r="E263" i="5"/>
  <c r="D264" i="5"/>
  <c r="A264" i="5"/>
  <c r="E264" i="5"/>
  <c r="D265" i="5"/>
  <c r="A265" i="5" s="1"/>
  <c r="E265" i="5"/>
  <c r="D266" i="5"/>
  <c r="A266" i="5" s="1"/>
  <c r="E266" i="5"/>
  <c r="D267" i="5"/>
  <c r="A267" i="5" s="1"/>
  <c r="E267" i="5"/>
  <c r="D268" i="5"/>
  <c r="A268" i="5"/>
  <c r="E268" i="5"/>
  <c r="D269" i="5"/>
  <c r="A269" i="5" s="1"/>
  <c r="E269" i="5"/>
  <c r="D270" i="5"/>
  <c r="A270" i="5" s="1"/>
  <c r="E270" i="5"/>
  <c r="D271" i="5"/>
  <c r="A271" i="5" s="1"/>
  <c r="E271" i="5"/>
  <c r="D272" i="5"/>
  <c r="A272" i="5"/>
  <c r="E272" i="5"/>
  <c r="D273" i="5"/>
  <c r="A273" i="5" s="1"/>
  <c r="E273" i="5"/>
  <c r="D274" i="5"/>
  <c r="A274" i="5" s="1"/>
  <c r="E274" i="5"/>
  <c r="D275" i="5"/>
  <c r="A275" i="5" s="1"/>
  <c r="E275" i="5"/>
  <c r="D276" i="5"/>
  <c r="A276" i="5"/>
  <c r="E276" i="5"/>
  <c r="D277" i="5"/>
  <c r="A277" i="5" s="1"/>
  <c r="E277" i="5"/>
  <c r="D278" i="5"/>
  <c r="E278" i="5"/>
  <c r="D279" i="5"/>
  <c r="A279" i="5" s="1"/>
  <c r="E279" i="5"/>
  <c r="D280" i="5"/>
  <c r="A280" i="5" s="1"/>
  <c r="E280" i="5"/>
  <c r="D281" i="5"/>
  <c r="A281" i="5"/>
  <c r="E281" i="5"/>
  <c r="D282" i="5"/>
  <c r="A282" i="5" s="1"/>
  <c r="E282" i="5"/>
  <c r="D283" i="5"/>
  <c r="A283" i="5" s="1"/>
  <c r="E283" i="5"/>
  <c r="D284" i="5"/>
  <c r="A284" i="5" s="1"/>
  <c r="E284" i="5"/>
  <c r="D285" i="5"/>
  <c r="A285" i="5"/>
  <c r="E285" i="5"/>
  <c r="D286" i="5"/>
  <c r="A286" i="5" s="1"/>
  <c r="E286" i="5"/>
  <c r="D287" i="5"/>
  <c r="A287" i="5" s="1"/>
  <c r="E287" i="5"/>
  <c r="D288" i="5"/>
  <c r="A288" i="5" s="1"/>
  <c r="E288" i="5"/>
  <c r="D289" i="5"/>
  <c r="A289" i="5"/>
  <c r="E289" i="5"/>
  <c r="D290" i="5"/>
  <c r="A290" i="5" s="1"/>
  <c r="E290" i="5"/>
  <c r="D291" i="5"/>
  <c r="A291" i="5" s="1"/>
  <c r="E291" i="5"/>
  <c r="D292" i="5"/>
  <c r="A292" i="5" s="1"/>
  <c r="E292" i="5"/>
  <c r="D293" i="5"/>
  <c r="A293" i="5"/>
  <c r="E293" i="5"/>
  <c r="D294" i="5"/>
  <c r="A294" i="5" s="1"/>
  <c r="E294" i="5"/>
  <c r="D295" i="5"/>
  <c r="A295" i="5" s="1"/>
  <c r="E295" i="5"/>
  <c r="D296" i="5"/>
  <c r="A296" i="5" s="1"/>
  <c r="E296" i="5"/>
  <c r="D297" i="5"/>
  <c r="A297" i="5"/>
  <c r="E297" i="5"/>
  <c r="D298" i="5"/>
  <c r="A298" i="5" s="1"/>
  <c r="E298" i="5"/>
  <c r="D299" i="5"/>
  <c r="A299" i="5" s="1"/>
  <c r="E299" i="5"/>
  <c r="D300" i="5"/>
  <c r="A300" i="5" s="1"/>
  <c r="E300" i="5"/>
  <c r="D301" i="5"/>
  <c r="A301" i="5"/>
  <c r="E301" i="5"/>
  <c r="D302" i="5"/>
  <c r="A302" i="5" s="1"/>
  <c r="E302" i="5"/>
  <c r="D303" i="5"/>
  <c r="A303" i="5" s="1"/>
  <c r="E303" i="5"/>
  <c r="D304" i="5"/>
  <c r="A304" i="5" s="1"/>
  <c r="E304" i="5"/>
  <c r="D305" i="5"/>
  <c r="A305" i="5"/>
  <c r="E305" i="5"/>
  <c r="D306" i="5"/>
  <c r="A306" i="5" s="1"/>
  <c r="E306" i="5"/>
  <c r="D307" i="5"/>
  <c r="A307" i="5" s="1"/>
  <c r="E307" i="5"/>
  <c r="D308" i="5"/>
  <c r="A308" i="5" s="1"/>
  <c r="E308" i="5"/>
  <c r="D309" i="5"/>
  <c r="A309" i="5"/>
  <c r="E309" i="5"/>
  <c r="D310" i="5"/>
  <c r="E310" i="5"/>
  <c r="D311" i="5"/>
  <c r="A311" i="5" s="1"/>
  <c r="E311" i="5"/>
  <c r="D312" i="5"/>
  <c r="A312" i="5" s="1"/>
  <c r="E312" i="5"/>
  <c r="D313" i="5"/>
  <c r="A313" i="5" s="1"/>
  <c r="E313" i="5"/>
  <c r="D314" i="5"/>
  <c r="A314" i="5"/>
  <c r="E314" i="5"/>
  <c r="D315" i="5"/>
  <c r="A315" i="5" s="1"/>
  <c r="E315" i="5"/>
  <c r="D316" i="5"/>
  <c r="A316" i="5" s="1"/>
  <c r="E316" i="5"/>
  <c r="D317" i="5"/>
  <c r="A317" i="5" s="1"/>
  <c r="E317" i="5"/>
  <c r="D318" i="5"/>
  <c r="A318" i="5"/>
  <c r="E318" i="5"/>
  <c r="D319" i="5"/>
  <c r="A319" i="5" s="1"/>
  <c r="E319" i="5"/>
  <c r="D320" i="5"/>
  <c r="A320" i="5" s="1"/>
  <c r="E320" i="5"/>
  <c r="D321" i="5"/>
  <c r="A321" i="5" s="1"/>
  <c r="E321" i="5"/>
  <c r="D322" i="5"/>
  <c r="A322" i="5"/>
  <c r="E322" i="5"/>
  <c r="D323" i="5"/>
  <c r="A323" i="5" s="1"/>
  <c r="E323" i="5"/>
  <c r="D324" i="5"/>
  <c r="A324" i="5" s="1"/>
  <c r="E324" i="5"/>
  <c r="D325" i="5"/>
  <c r="A325" i="5" s="1"/>
  <c r="E325" i="5"/>
  <c r="D326" i="5"/>
  <c r="A326" i="5"/>
  <c r="E326" i="5"/>
  <c r="D327" i="5"/>
  <c r="A327" i="5" s="1"/>
  <c r="E327" i="5"/>
  <c r="D328" i="5"/>
  <c r="A328" i="5" s="1"/>
  <c r="E328" i="5"/>
  <c r="D329" i="5"/>
  <c r="A329" i="5" s="1"/>
  <c r="E329" i="5"/>
  <c r="D330" i="5"/>
  <c r="A330" i="5"/>
  <c r="E330" i="5"/>
  <c r="D331" i="5"/>
  <c r="A331" i="5" s="1"/>
  <c r="E331" i="5"/>
  <c r="D332" i="5"/>
  <c r="A332" i="5" s="1"/>
  <c r="E332" i="5"/>
  <c r="D333" i="5"/>
  <c r="A333" i="5" s="1"/>
  <c r="E333" i="5"/>
  <c r="D334" i="5"/>
  <c r="A334" i="5"/>
  <c r="E334" i="5"/>
  <c r="D335" i="5"/>
  <c r="A335" i="5" s="1"/>
  <c r="E335" i="5"/>
  <c r="D336" i="5"/>
  <c r="A336" i="5" s="1"/>
  <c r="E336" i="5"/>
  <c r="D337" i="5"/>
  <c r="A337" i="5" s="1"/>
  <c r="E337" i="5"/>
  <c r="D338" i="5"/>
  <c r="A338" i="5"/>
  <c r="E338" i="5"/>
  <c r="D339" i="5"/>
  <c r="A339" i="5" s="1"/>
  <c r="E339" i="5"/>
  <c r="D340" i="5"/>
  <c r="A340" i="5" s="1"/>
  <c r="E340" i="5"/>
  <c r="D341" i="5"/>
  <c r="A341" i="5" s="1"/>
  <c r="E341" i="5"/>
  <c r="D342" i="5"/>
  <c r="E342" i="5"/>
  <c r="D343" i="5"/>
  <c r="A343" i="5"/>
  <c r="E343" i="5"/>
  <c r="D344" i="5"/>
  <c r="A344" i="5" s="1"/>
  <c r="E344" i="5"/>
  <c r="D345" i="5"/>
  <c r="A345" i="5" s="1"/>
  <c r="E345" i="5"/>
  <c r="D346" i="5"/>
  <c r="A346" i="5" s="1"/>
  <c r="E346" i="5"/>
  <c r="D347" i="5"/>
  <c r="A347" i="5"/>
  <c r="E347" i="5"/>
  <c r="D348" i="5"/>
  <c r="A348" i="5" s="1"/>
  <c r="E348" i="5"/>
  <c r="D349" i="5"/>
  <c r="A349" i="5" s="1"/>
  <c r="E349" i="5"/>
  <c r="D350" i="5"/>
  <c r="A350" i="5" s="1"/>
  <c r="E350" i="5"/>
  <c r="D351" i="5"/>
  <c r="A351" i="5"/>
  <c r="E351" i="5"/>
  <c r="D352" i="5"/>
  <c r="A352" i="5" s="1"/>
  <c r="E352" i="5"/>
  <c r="D353" i="5"/>
  <c r="A353" i="5" s="1"/>
  <c r="E353" i="5"/>
  <c r="D354" i="5"/>
  <c r="A354" i="5" s="1"/>
  <c r="E354" i="5"/>
  <c r="D355" i="5"/>
  <c r="A355" i="5"/>
  <c r="E355" i="5"/>
  <c r="D356" i="5"/>
  <c r="A356" i="5" s="1"/>
  <c r="E356" i="5"/>
  <c r="D357" i="5"/>
  <c r="A357" i="5" s="1"/>
  <c r="E357" i="5"/>
  <c r="D358" i="5"/>
  <c r="A358" i="5" s="1"/>
  <c r="E358" i="5"/>
  <c r="D359" i="5"/>
  <c r="A359" i="5"/>
  <c r="E359" i="5"/>
  <c r="D360" i="5"/>
  <c r="A360" i="5" s="1"/>
  <c r="E360" i="5"/>
  <c r="D361" i="5"/>
  <c r="A361" i="5" s="1"/>
  <c r="E361" i="5"/>
  <c r="D362" i="5"/>
  <c r="A362" i="5" s="1"/>
  <c r="E362" i="5"/>
  <c r="D363" i="5"/>
  <c r="A363" i="5"/>
  <c r="E363" i="5"/>
  <c r="D364" i="5"/>
  <c r="A364" i="5" s="1"/>
  <c r="E364" i="5"/>
  <c r="D365" i="5"/>
  <c r="A365" i="5" s="1"/>
  <c r="E365" i="5"/>
  <c r="D366" i="5"/>
  <c r="A366" i="5" s="1"/>
  <c r="E366" i="5"/>
  <c r="D367" i="5"/>
  <c r="A367" i="5"/>
  <c r="E367" i="5"/>
  <c r="D368" i="5"/>
  <c r="A368" i="5" s="1"/>
  <c r="E368" i="5"/>
  <c r="D369" i="5"/>
  <c r="A369" i="5" s="1"/>
  <c r="E369" i="5"/>
  <c r="D370" i="5"/>
  <c r="A370" i="5" s="1"/>
  <c r="E370" i="5"/>
  <c r="D371" i="5"/>
  <c r="A371" i="5"/>
  <c r="E371" i="5"/>
  <c r="D372" i="5"/>
  <c r="A372" i="5" s="1"/>
  <c r="E372" i="5"/>
  <c r="D373" i="5"/>
  <c r="A373" i="5" s="1"/>
  <c r="E373" i="5"/>
  <c r="D374" i="5"/>
  <c r="E374" i="5"/>
  <c r="D375" i="5"/>
  <c r="A375" i="5" s="1"/>
  <c r="E375" i="5"/>
  <c r="D376" i="5"/>
  <c r="A376" i="5"/>
  <c r="E376" i="5"/>
  <c r="D377" i="5"/>
  <c r="A377" i="5" s="1"/>
  <c r="E377" i="5"/>
  <c r="D378" i="5"/>
  <c r="A378" i="5" s="1"/>
  <c r="E378" i="5"/>
  <c r="D379" i="5"/>
  <c r="A379" i="5" s="1"/>
  <c r="E379" i="5"/>
  <c r="D380" i="5"/>
  <c r="A380" i="5"/>
  <c r="E380" i="5"/>
  <c r="D381" i="5"/>
  <c r="A381" i="5" s="1"/>
  <c r="E381" i="5"/>
  <c r="D382" i="5"/>
  <c r="A382" i="5" s="1"/>
  <c r="E382" i="5"/>
  <c r="D383" i="5"/>
  <c r="A383" i="5" s="1"/>
  <c r="E383" i="5"/>
  <c r="D384" i="5"/>
  <c r="A384" i="5"/>
  <c r="E384" i="5"/>
  <c r="D385" i="5"/>
  <c r="A385" i="5" s="1"/>
  <c r="E385" i="5"/>
  <c r="D386" i="5"/>
  <c r="A386" i="5" s="1"/>
  <c r="E386" i="5"/>
  <c r="D387" i="5"/>
  <c r="A387" i="5" s="1"/>
  <c r="E387" i="5"/>
  <c r="D388" i="5"/>
  <c r="A388" i="5"/>
  <c r="E388" i="5"/>
  <c r="D389" i="5"/>
  <c r="A389" i="5" s="1"/>
  <c r="E389" i="5"/>
  <c r="D390" i="5"/>
  <c r="A390" i="5" s="1"/>
  <c r="E390" i="5"/>
  <c r="D391" i="5"/>
  <c r="A391" i="5" s="1"/>
  <c r="E391" i="5"/>
  <c r="D392" i="5"/>
  <c r="A392" i="5"/>
  <c r="E392" i="5"/>
  <c r="D393" i="5"/>
  <c r="A393" i="5" s="1"/>
  <c r="E393" i="5"/>
  <c r="D394" i="5"/>
  <c r="A394" i="5" s="1"/>
  <c r="E394" i="5"/>
  <c r="D395" i="5"/>
  <c r="A395" i="5" s="1"/>
  <c r="E395" i="5"/>
  <c r="D396" i="5"/>
  <c r="A396" i="5"/>
  <c r="E396" i="5"/>
  <c r="D397" i="5"/>
  <c r="A397" i="5" s="1"/>
  <c r="E397" i="5"/>
  <c r="D398" i="5"/>
  <c r="A398" i="5" s="1"/>
  <c r="E398" i="5"/>
  <c r="D399" i="5"/>
  <c r="A399" i="5" s="1"/>
  <c r="E399" i="5"/>
  <c r="D400" i="5"/>
  <c r="A400" i="5"/>
  <c r="E400" i="5"/>
  <c r="D401" i="5"/>
  <c r="A401" i="5" s="1"/>
  <c r="E401" i="5"/>
  <c r="D402" i="5"/>
  <c r="A402" i="5" s="1"/>
  <c r="E402" i="5"/>
  <c r="D403" i="5"/>
  <c r="A403" i="5" s="1"/>
  <c r="E403" i="5"/>
  <c r="D404" i="5"/>
  <c r="A404" i="5"/>
  <c r="E404" i="5"/>
  <c r="D405" i="5"/>
  <c r="A405" i="5" s="1"/>
  <c r="E405" i="5"/>
  <c r="D406" i="5"/>
  <c r="E406" i="5"/>
  <c r="D407" i="5"/>
  <c r="A407" i="5" s="1"/>
  <c r="E407" i="5"/>
  <c r="D408" i="5"/>
  <c r="A408" i="5" s="1"/>
  <c r="E408" i="5"/>
  <c r="D409" i="5"/>
  <c r="A409" i="5"/>
  <c r="E409" i="5"/>
  <c r="D410" i="5"/>
  <c r="A410" i="5" s="1"/>
  <c r="E410" i="5"/>
  <c r="D411" i="5"/>
  <c r="A411" i="5" s="1"/>
  <c r="E411" i="5"/>
  <c r="D412" i="5"/>
  <c r="A412" i="5" s="1"/>
  <c r="E412" i="5"/>
  <c r="D413" i="5"/>
  <c r="A413" i="5"/>
  <c r="E413" i="5"/>
  <c r="D414" i="5"/>
  <c r="A414" i="5" s="1"/>
  <c r="E414" i="5"/>
  <c r="D415" i="5"/>
  <c r="A415" i="5" s="1"/>
  <c r="E415" i="5"/>
  <c r="D416" i="5"/>
  <c r="A416" i="5" s="1"/>
  <c r="E416" i="5"/>
  <c r="D417" i="5"/>
  <c r="A417" i="5"/>
  <c r="E417" i="5"/>
  <c r="D418" i="5"/>
  <c r="A418" i="5" s="1"/>
  <c r="E418" i="5"/>
  <c r="D419" i="5"/>
  <c r="A419" i="5" s="1"/>
  <c r="E419" i="5"/>
  <c r="D420" i="5"/>
  <c r="A420" i="5" s="1"/>
  <c r="E420" i="5"/>
  <c r="D421" i="5"/>
  <c r="A421" i="5"/>
  <c r="E421" i="5"/>
  <c r="D422" i="5"/>
  <c r="A422" i="5" s="1"/>
  <c r="E422" i="5"/>
  <c r="D423" i="5"/>
  <c r="A423" i="5" s="1"/>
  <c r="E423" i="5"/>
  <c r="D424" i="5"/>
  <c r="A424" i="5" s="1"/>
  <c r="E424" i="5"/>
  <c r="D425" i="5"/>
  <c r="A425" i="5"/>
  <c r="E425" i="5"/>
  <c r="D426" i="5"/>
  <c r="A426" i="5" s="1"/>
  <c r="E426" i="5"/>
  <c r="D427" i="5"/>
  <c r="A427" i="5" s="1"/>
  <c r="E427" i="5"/>
  <c r="D428" i="5"/>
  <c r="A428" i="5" s="1"/>
  <c r="E428" i="5"/>
  <c r="D429" i="5"/>
  <c r="A429" i="5"/>
  <c r="E429" i="5"/>
  <c r="D430" i="5"/>
  <c r="A430" i="5" s="1"/>
  <c r="E430" i="5"/>
  <c r="D431" i="5"/>
  <c r="A431" i="5" s="1"/>
  <c r="E431" i="5"/>
  <c r="D432" i="5"/>
  <c r="A432" i="5" s="1"/>
  <c r="E432" i="5"/>
  <c r="D433" i="5"/>
  <c r="A433" i="5"/>
  <c r="E433" i="5"/>
  <c r="D434" i="5"/>
  <c r="A434" i="5" s="1"/>
  <c r="E434" i="5"/>
  <c r="D435" i="5"/>
  <c r="A435" i="5" s="1"/>
  <c r="E435" i="5"/>
  <c r="D436" i="5"/>
  <c r="A436" i="5" s="1"/>
  <c r="E436" i="5"/>
  <c r="D437" i="5"/>
  <c r="A437" i="5"/>
  <c r="E437" i="5"/>
  <c r="D438" i="5"/>
  <c r="A438" i="5" s="1"/>
  <c r="E438" i="5"/>
  <c r="D439" i="5"/>
  <c r="A439" i="5" s="1"/>
  <c r="E439" i="5"/>
  <c r="D440" i="5"/>
  <c r="A440" i="5" s="1"/>
  <c r="E440" i="5"/>
  <c r="D441" i="5"/>
  <c r="A441" i="5"/>
  <c r="E441" i="5"/>
  <c r="D442" i="5"/>
  <c r="A442" i="5" s="1"/>
  <c r="E442" i="5"/>
  <c r="D443" i="5"/>
  <c r="A443" i="5" s="1"/>
  <c r="E443" i="5"/>
  <c r="D444" i="5"/>
  <c r="A444" i="5" s="1"/>
  <c r="E444" i="5"/>
  <c r="D445" i="5"/>
  <c r="A445" i="5"/>
  <c r="E445" i="5"/>
  <c r="D446" i="5"/>
  <c r="A446" i="5" s="1"/>
  <c r="E446" i="5"/>
  <c r="D447" i="5"/>
  <c r="A447" i="5" s="1"/>
  <c r="E447" i="5"/>
  <c r="D448" i="5"/>
  <c r="A448" i="5" s="1"/>
  <c r="E448" i="5"/>
  <c r="D449" i="5"/>
  <c r="A449" i="5"/>
  <c r="E449" i="5"/>
  <c r="D450" i="5"/>
  <c r="A450" i="5" s="1"/>
  <c r="E450" i="5"/>
  <c r="D451" i="5"/>
  <c r="A451" i="5" s="1"/>
  <c r="E451" i="5"/>
  <c r="D452" i="5"/>
  <c r="A452" i="5" s="1"/>
  <c r="E452" i="5"/>
  <c r="D453" i="5"/>
  <c r="A453" i="5"/>
  <c r="E453" i="5"/>
  <c r="D454" i="5"/>
  <c r="A454" i="5" s="1"/>
  <c r="E454" i="5"/>
  <c r="D455" i="5"/>
  <c r="A455" i="5" s="1"/>
  <c r="E455" i="5"/>
  <c r="D456" i="5"/>
  <c r="A456" i="5" s="1"/>
  <c r="E456" i="5"/>
  <c r="D457" i="5"/>
  <c r="A457" i="5"/>
  <c r="E457" i="5"/>
  <c r="D458" i="5"/>
  <c r="A458" i="5" s="1"/>
  <c r="E458" i="5"/>
  <c r="D459" i="5"/>
  <c r="A459" i="5" s="1"/>
  <c r="E459" i="5"/>
  <c r="D460" i="5"/>
  <c r="A460" i="5" s="1"/>
  <c r="E460" i="5"/>
  <c r="D461" i="5"/>
  <c r="A461" i="5"/>
  <c r="E461" i="5"/>
  <c r="D462" i="5"/>
  <c r="A462" i="5" s="1"/>
  <c r="E462" i="5"/>
  <c r="D463" i="5"/>
  <c r="A463" i="5" s="1"/>
  <c r="E463" i="5"/>
  <c r="D464" i="5"/>
  <c r="A464" i="5" s="1"/>
  <c r="E464" i="5"/>
  <c r="D465" i="5"/>
  <c r="A465" i="5"/>
  <c r="E465" i="5"/>
  <c r="D466" i="5"/>
  <c r="A466" i="5" s="1"/>
  <c r="E466" i="5"/>
  <c r="D467" i="5"/>
  <c r="A467" i="5" s="1"/>
  <c r="E467" i="5"/>
  <c r="D468" i="5"/>
  <c r="A468" i="5" s="1"/>
  <c r="E468" i="5"/>
  <c r="D469" i="5"/>
  <c r="A469" i="5"/>
  <c r="E469" i="5"/>
  <c r="D470" i="5"/>
  <c r="A470" i="5" s="1"/>
  <c r="E470" i="5"/>
  <c r="D471" i="5"/>
  <c r="A471" i="5" s="1"/>
  <c r="E471" i="5"/>
  <c r="D472" i="5"/>
  <c r="A472" i="5" s="1"/>
  <c r="E472" i="5"/>
  <c r="D473" i="5"/>
  <c r="A473" i="5" s="1"/>
  <c r="E473" i="5"/>
  <c r="D474" i="5"/>
  <c r="A474" i="5"/>
  <c r="E474" i="5"/>
  <c r="D475" i="5"/>
  <c r="A475" i="5" s="1"/>
  <c r="E475" i="5"/>
  <c r="D476" i="5"/>
  <c r="A476" i="5" s="1"/>
  <c r="E476" i="5"/>
  <c r="D477" i="5"/>
  <c r="A477" i="5" s="1"/>
  <c r="E477" i="5"/>
  <c r="D478" i="5"/>
  <c r="A478" i="5"/>
  <c r="E478" i="5"/>
  <c r="D479" i="5"/>
  <c r="A479" i="5" s="1"/>
  <c r="E479" i="5"/>
  <c r="D480" i="5"/>
  <c r="A480" i="5" s="1"/>
  <c r="E480" i="5"/>
  <c r="D481" i="5"/>
  <c r="A481" i="5" s="1"/>
  <c r="E481" i="5"/>
  <c r="D482" i="5"/>
  <c r="A482" i="5"/>
  <c r="E482" i="5"/>
  <c r="D483" i="5"/>
  <c r="A483" i="5" s="1"/>
  <c r="E483" i="5"/>
  <c r="D484" i="5"/>
  <c r="A484" i="5" s="1"/>
  <c r="E484" i="5"/>
  <c r="D485" i="5"/>
  <c r="A485" i="5" s="1"/>
  <c r="E485" i="5"/>
  <c r="D486" i="5"/>
  <c r="A486" i="5"/>
  <c r="E486" i="5"/>
  <c r="D487" i="5"/>
  <c r="A487" i="5" s="1"/>
  <c r="E487" i="5"/>
  <c r="D488" i="5"/>
  <c r="A488" i="5" s="1"/>
  <c r="E488" i="5"/>
  <c r="D489" i="5"/>
  <c r="A489" i="5" s="1"/>
  <c r="E489" i="5"/>
  <c r="D490" i="5"/>
  <c r="A490" i="5"/>
  <c r="E490" i="5"/>
  <c r="D491" i="5"/>
  <c r="A491" i="5" s="1"/>
  <c r="E491" i="5"/>
  <c r="D492" i="5"/>
  <c r="A492" i="5" s="1"/>
  <c r="E492" i="5"/>
  <c r="D493" i="5"/>
  <c r="A493" i="5" s="1"/>
  <c r="E493" i="5"/>
  <c r="D494" i="5"/>
  <c r="A494" i="5"/>
  <c r="E494" i="5"/>
  <c r="D495" i="5"/>
  <c r="A495" i="5" s="1"/>
  <c r="E495" i="5"/>
  <c r="D496" i="5"/>
  <c r="A496" i="5" s="1"/>
  <c r="E496" i="5"/>
  <c r="D497" i="5"/>
  <c r="A497" i="5" s="1"/>
  <c r="E497" i="5"/>
  <c r="D498" i="5"/>
  <c r="A498" i="5"/>
  <c r="E498" i="5"/>
  <c r="D499" i="5"/>
  <c r="A499" i="5" s="1"/>
  <c r="E499" i="5"/>
  <c r="D500" i="5"/>
  <c r="A500" i="5" s="1"/>
  <c r="E500" i="5"/>
  <c r="D501" i="5"/>
  <c r="A501" i="5" s="1"/>
  <c r="E501" i="5"/>
  <c r="D502" i="5"/>
  <c r="A502" i="5"/>
  <c r="E502" i="5"/>
  <c r="D503" i="5"/>
  <c r="A503" i="5" s="1"/>
  <c r="E503" i="5"/>
  <c r="D504" i="5"/>
  <c r="A504" i="5" s="1"/>
  <c r="E504" i="5"/>
  <c r="D505" i="5"/>
  <c r="A505" i="5" s="1"/>
  <c r="E505" i="5"/>
  <c r="D506" i="5"/>
  <c r="A506" i="5"/>
  <c r="E506" i="5"/>
  <c r="D507" i="5"/>
  <c r="A507" i="5" s="1"/>
  <c r="E507" i="5"/>
  <c r="D508" i="5"/>
  <c r="A508" i="5" s="1"/>
  <c r="E508" i="5"/>
  <c r="D509" i="5"/>
  <c r="A509" i="5" s="1"/>
  <c r="E509" i="5"/>
  <c r="D510" i="5"/>
  <c r="A510" i="5"/>
  <c r="E510" i="5"/>
  <c r="D511" i="5"/>
  <c r="A511" i="5" s="1"/>
  <c r="E511" i="5"/>
  <c r="D512" i="5"/>
  <c r="A512" i="5" s="1"/>
  <c r="E512" i="5"/>
  <c r="D513" i="5"/>
  <c r="A513" i="5" s="1"/>
  <c r="E513" i="5"/>
  <c r="D514" i="5"/>
  <c r="A514" i="5"/>
  <c r="E514" i="5"/>
  <c r="D515" i="5"/>
  <c r="A515" i="5" s="1"/>
  <c r="E515" i="5"/>
  <c r="D516" i="5"/>
  <c r="A516" i="5" s="1"/>
  <c r="E516" i="5"/>
  <c r="D517" i="5"/>
  <c r="A517" i="5" s="1"/>
  <c r="E517" i="5"/>
  <c r="D518" i="5"/>
  <c r="A518" i="5"/>
  <c r="E518" i="5"/>
  <c r="D519" i="5"/>
  <c r="A519" i="5" s="1"/>
  <c r="E519" i="5"/>
  <c r="D520" i="5"/>
  <c r="A520" i="5" s="1"/>
  <c r="E520" i="5"/>
  <c r="D521" i="5"/>
  <c r="A521" i="5" s="1"/>
  <c r="E521" i="5"/>
  <c r="D522" i="5"/>
  <c r="A522" i="5"/>
  <c r="E522" i="5"/>
  <c r="D523" i="5"/>
  <c r="A523" i="5" s="1"/>
  <c r="E523" i="5"/>
  <c r="D524" i="5"/>
  <c r="A524" i="5" s="1"/>
  <c r="E524" i="5"/>
  <c r="D525" i="5"/>
  <c r="A525" i="5" s="1"/>
  <c r="E525" i="5"/>
  <c r="D526" i="5"/>
  <c r="A526" i="5"/>
  <c r="E526" i="5"/>
  <c r="D527" i="5"/>
  <c r="A527" i="5" s="1"/>
  <c r="E527" i="5"/>
  <c r="D528" i="5"/>
  <c r="A528" i="5" s="1"/>
  <c r="E528" i="5"/>
  <c r="D529" i="5"/>
  <c r="A529" i="5" s="1"/>
  <c r="E529" i="5"/>
  <c r="D530" i="5"/>
  <c r="A530" i="5"/>
  <c r="E530" i="5"/>
  <c r="D531" i="5"/>
  <c r="A531" i="5" s="1"/>
  <c r="E531" i="5"/>
  <c r="D532" i="5"/>
  <c r="A532" i="5" s="1"/>
  <c r="E532" i="5"/>
  <c r="D533" i="5"/>
  <c r="A533" i="5" s="1"/>
  <c r="E533" i="5"/>
  <c r="D534" i="5"/>
  <c r="A534" i="5"/>
  <c r="E534" i="5"/>
  <c r="D535" i="5"/>
  <c r="A535" i="5" s="1"/>
  <c r="E535" i="5"/>
  <c r="D536" i="5"/>
  <c r="A536" i="5" s="1"/>
  <c r="E536" i="5"/>
  <c r="D537" i="5"/>
  <c r="A537" i="5" s="1"/>
  <c r="E537" i="5"/>
  <c r="D538" i="5"/>
  <c r="A538" i="5"/>
  <c r="E538" i="5"/>
  <c r="D539" i="5"/>
  <c r="A539" i="5" s="1"/>
  <c r="E539" i="5"/>
  <c r="D540" i="5"/>
  <c r="A540" i="5" s="1"/>
  <c r="E540" i="5"/>
  <c r="D541" i="5"/>
  <c r="A541" i="5" s="1"/>
  <c r="E541" i="5"/>
  <c r="D542" i="5"/>
  <c r="A542" i="5"/>
  <c r="E542" i="5"/>
  <c r="D543" i="5"/>
  <c r="A543" i="5" s="1"/>
  <c r="E543" i="5"/>
  <c r="D544" i="5"/>
  <c r="A544" i="5" s="1"/>
  <c r="E544" i="5"/>
  <c r="D545" i="5"/>
  <c r="A545" i="5" s="1"/>
  <c r="E545" i="5"/>
  <c r="D546" i="5"/>
  <c r="A546" i="5"/>
  <c r="E546" i="5"/>
  <c r="D547" i="5"/>
  <c r="A547" i="5" s="1"/>
  <c r="E547" i="5"/>
  <c r="D548" i="5"/>
  <c r="A548" i="5" s="1"/>
  <c r="E548" i="5"/>
  <c r="D549" i="5"/>
  <c r="A549" i="5" s="1"/>
  <c r="E549" i="5"/>
  <c r="D550" i="5"/>
  <c r="A550" i="5"/>
  <c r="E550" i="5"/>
  <c r="D551" i="5"/>
  <c r="A551" i="5" s="1"/>
  <c r="E551" i="5"/>
  <c r="D552" i="5"/>
  <c r="A552" i="5" s="1"/>
  <c r="E552" i="5"/>
  <c r="D553" i="5"/>
  <c r="A553" i="5" s="1"/>
  <c r="E553" i="5"/>
  <c r="D554" i="5"/>
  <c r="A554" i="5"/>
  <c r="E554" i="5"/>
  <c r="D555" i="5"/>
  <c r="A555" i="5" s="1"/>
  <c r="E555" i="5"/>
  <c r="D556" i="5"/>
  <c r="A556" i="5" s="1"/>
  <c r="E556" i="5"/>
  <c r="D557" i="5"/>
  <c r="A557" i="5" s="1"/>
  <c r="E557" i="5"/>
  <c r="D558" i="5"/>
  <c r="A558" i="5"/>
  <c r="E558" i="5"/>
  <c r="D559" i="5"/>
  <c r="A559" i="5" s="1"/>
  <c r="E559" i="5"/>
  <c r="D560" i="5"/>
  <c r="A560" i="5" s="1"/>
  <c r="E560" i="5"/>
  <c r="D561" i="5"/>
  <c r="A561" i="5" s="1"/>
  <c r="E561" i="5"/>
  <c r="D562" i="5"/>
  <c r="A562" i="5"/>
  <c r="E562" i="5"/>
  <c r="D563" i="5"/>
  <c r="A563" i="5" s="1"/>
  <c r="E563" i="5"/>
  <c r="D564" i="5"/>
  <c r="A564" i="5" s="1"/>
  <c r="E564" i="5"/>
  <c r="D565" i="5"/>
  <c r="A565" i="5" s="1"/>
  <c r="E565" i="5"/>
  <c r="D566" i="5"/>
  <c r="A566" i="5"/>
  <c r="E566" i="5"/>
  <c r="D567" i="5"/>
  <c r="A567" i="5" s="1"/>
  <c r="E567" i="5"/>
  <c r="D568" i="5"/>
  <c r="A568" i="5" s="1"/>
  <c r="E568" i="5"/>
  <c r="D569" i="5"/>
  <c r="A569" i="5" s="1"/>
  <c r="E569" i="5"/>
  <c r="D570" i="5"/>
  <c r="A570" i="5"/>
  <c r="E570" i="5"/>
  <c r="D571" i="5"/>
  <c r="A571" i="5" s="1"/>
  <c r="E571" i="5"/>
  <c r="D572" i="5"/>
  <c r="A572" i="5" s="1"/>
  <c r="E572" i="5"/>
  <c r="D573" i="5"/>
  <c r="A573" i="5" s="1"/>
  <c r="E573" i="5"/>
  <c r="D574" i="5"/>
  <c r="A574" i="5"/>
  <c r="E574" i="5"/>
  <c r="D575" i="5"/>
  <c r="A575" i="5" s="1"/>
  <c r="E575" i="5"/>
  <c r="D576" i="5"/>
  <c r="A576" i="5" s="1"/>
  <c r="E576" i="5"/>
  <c r="D577" i="5"/>
  <c r="A577" i="5" s="1"/>
  <c r="E577" i="5"/>
  <c r="D578" i="5"/>
  <c r="A578" i="5" s="1"/>
  <c r="E578" i="5"/>
  <c r="D579" i="5"/>
  <c r="A579" i="5"/>
  <c r="E579" i="5"/>
  <c r="D580" i="5"/>
  <c r="A580" i="5" s="1"/>
  <c r="E580" i="5"/>
  <c r="D581" i="5"/>
  <c r="A581" i="5" s="1"/>
  <c r="E581" i="5"/>
  <c r="D582" i="5"/>
  <c r="A582" i="5" s="1"/>
  <c r="E582" i="5"/>
  <c r="D583" i="5"/>
  <c r="A583" i="5"/>
  <c r="E583" i="5"/>
  <c r="D584" i="5"/>
  <c r="A584" i="5" s="1"/>
  <c r="E584" i="5"/>
  <c r="D585" i="5"/>
  <c r="A585" i="5" s="1"/>
  <c r="E585" i="5"/>
  <c r="D586" i="5"/>
  <c r="A586" i="5" s="1"/>
  <c r="E586" i="5"/>
  <c r="D587" i="5"/>
  <c r="A587" i="5"/>
  <c r="E587" i="5"/>
  <c r="D588" i="5"/>
  <c r="A588" i="5" s="1"/>
  <c r="E588" i="5"/>
  <c r="D589" i="5"/>
  <c r="A589" i="5" s="1"/>
  <c r="E589" i="5"/>
  <c r="D590" i="5"/>
  <c r="A590" i="5" s="1"/>
  <c r="E590" i="5"/>
  <c r="D591" i="5"/>
  <c r="A591" i="5"/>
  <c r="E591" i="5"/>
  <c r="D592" i="5"/>
  <c r="A592" i="5" s="1"/>
  <c r="E592" i="5"/>
  <c r="D593" i="5"/>
  <c r="A593" i="5" s="1"/>
  <c r="E593" i="5"/>
  <c r="D594" i="5"/>
  <c r="A594" i="5" s="1"/>
  <c r="E594" i="5"/>
  <c r="D595" i="5"/>
  <c r="A595" i="5"/>
  <c r="E595" i="5"/>
  <c r="D596" i="5"/>
  <c r="A596" i="5" s="1"/>
  <c r="E596" i="5"/>
  <c r="D597" i="5"/>
  <c r="A597" i="5" s="1"/>
  <c r="E597" i="5"/>
  <c r="D598" i="5"/>
  <c r="A598" i="5" s="1"/>
  <c r="E598" i="5"/>
  <c r="D599" i="5"/>
  <c r="A599" i="5"/>
  <c r="E599" i="5"/>
  <c r="D600" i="5"/>
  <c r="A600" i="5" s="1"/>
  <c r="E600" i="5"/>
  <c r="D601" i="5"/>
  <c r="A601" i="5" s="1"/>
  <c r="E601" i="5"/>
  <c r="D602" i="5"/>
  <c r="A602" i="5" s="1"/>
  <c r="E602" i="5"/>
  <c r="D603" i="5"/>
  <c r="A603" i="5"/>
  <c r="E603" i="5"/>
  <c r="D604" i="5"/>
  <c r="A604" i="5" s="1"/>
  <c r="E604" i="5"/>
  <c r="D605" i="5"/>
  <c r="A605" i="5" s="1"/>
  <c r="E605" i="5"/>
  <c r="D606" i="5"/>
  <c r="A606" i="5" s="1"/>
  <c r="E606" i="5"/>
  <c r="D607" i="5"/>
  <c r="A607" i="5"/>
  <c r="E607" i="5"/>
  <c r="D608" i="5"/>
  <c r="A608" i="5" s="1"/>
  <c r="E608" i="5"/>
  <c r="D609" i="5"/>
  <c r="A609" i="5" s="1"/>
  <c r="E609" i="5"/>
  <c r="D610" i="5"/>
  <c r="A610" i="5" s="1"/>
  <c r="E610" i="5"/>
  <c r="D611" i="5"/>
  <c r="A611" i="5"/>
  <c r="E611" i="5"/>
  <c r="D612" i="5"/>
  <c r="A612" i="5" s="1"/>
  <c r="E612" i="5"/>
  <c r="D613" i="5"/>
  <c r="A613" i="5" s="1"/>
  <c r="E613" i="5"/>
  <c r="D614" i="5"/>
  <c r="A614" i="5" s="1"/>
  <c r="E614" i="5"/>
  <c r="D615" i="5"/>
  <c r="A615" i="5"/>
  <c r="E615" i="5"/>
  <c r="D616" i="5"/>
  <c r="A616" i="5" s="1"/>
  <c r="E616" i="5"/>
  <c r="D617" i="5"/>
  <c r="A617" i="5" s="1"/>
  <c r="E617" i="5"/>
  <c r="D618" i="5"/>
  <c r="A618" i="5" s="1"/>
  <c r="E618" i="5"/>
  <c r="D619" i="5"/>
  <c r="A619" i="5"/>
  <c r="E619" i="5"/>
  <c r="D620" i="5"/>
  <c r="A620" i="5" s="1"/>
  <c r="E620" i="5"/>
  <c r="D621" i="5"/>
  <c r="A621" i="5" s="1"/>
  <c r="E621" i="5"/>
  <c r="D622" i="5"/>
  <c r="A622" i="5" s="1"/>
  <c r="E622" i="5"/>
  <c r="D623" i="5"/>
  <c r="A623" i="5"/>
  <c r="E623" i="5"/>
  <c r="D624" i="5"/>
  <c r="A624" i="5" s="1"/>
  <c r="E624" i="5"/>
  <c r="D625" i="5"/>
  <c r="A625" i="5" s="1"/>
  <c r="E625" i="5"/>
  <c r="D626" i="5"/>
  <c r="A626" i="5" s="1"/>
  <c r="E626" i="5"/>
  <c r="D627" i="5"/>
  <c r="A627" i="5"/>
  <c r="E627" i="5"/>
  <c r="D628" i="5"/>
  <c r="A628" i="5" s="1"/>
  <c r="E628" i="5"/>
  <c r="D629" i="5"/>
  <c r="A629" i="5" s="1"/>
  <c r="E629" i="5"/>
  <c r="D630" i="5"/>
  <c r="A630" i="5" s="1"/>
  <c r="E630" i="5"/>
  <c r="D631" i="5"/>
  <c r="A631" i="5"/>
  <c r="E631" i="5"/>
  <c r="D632" i="5"/>
  <c r="A632" i="5" s="1"/>
  <c r="E632" i="5"/>
  <c r="D633" i="5"/>
  <c r="A633" i="5" s="1"/>
  <c r="E633" i="5"/>
  <c r="D634" i="5"/>
  <c r="A634" i="5" s="1"/>
  <c r="E634" i="5"/>
  <c r="D635" i="5"/>
  <c r="A635" i="5"/>
  <c r="E635" i="5"/>
  <c r="D636" i="5"/>
  <c r="A636" i="5" s="1"/>
  <c r="E636" i="5"/>
  <c r="D637" i="5"/>
  <c r="A637" i="5" s="1"/>
  <c r="E637" i="5"/>
  <c r="D638" i="5"/>
  <c r="A638" i="5" s="1"/>
  <c r="E638" i="5"/>
  <c r="D639" i="5"/>
  <c r="A639" i="5"/>
  <c r="E639" i="5"/>
  <c r="D640" i="5"/>
  <c r="A640" i="5" s="1"/>
  <c r="E640" i="5"/>
  <c r="D641" i="5"/>
  <c r="A641" i="5" s="1"/>
  <c r="E641" i="5"/>
  <c r="D642" i="5"/>
  <c r="A642" i="5" s="1"/>
  <c r="E642" i="5"/>
  <c r="D643" i="5"/>
  <c r="A643" i="5"/>
  <c r="E643" i="5"/>
  <c r="D644" i="5"/>
  <c r="A644" i="5" s="1"/>
  <c r="E644" i="5"/>
  <c r="D645" i="5"/>
  <c r="A645" i="5" s="1"/>
  <c r="E645" i="5"/>
  <c r="D646" i="5"/>
  <c r="A646" i="5" s="1"/>
  <c r="E646" i="5"/>
  <c r="D647" i="5"/>
  <c r="A647" i="5"/>
  <c r="E647" i="5"/>
  <c r="D648" i="5"/>
  <c r="A648" i="5" s="1"/>
  <c r="E648" i="5"/>
  <c r="D649" i="5"/>
  <c r="A649" i="5" s="1"/>
  <c r="E649" i="5"/>
  <c r="D650" i="5"/>
  <c r="A650" i="5" s="1"/>
  <c r="E650" i="5"/>
  <c r="D651" i="5"/>
  <c r="A651" i="5"/>
  <c r="E651" i="5"/>
  <c r="D652" i="5"/>
  <c r="A652" i="5" s="1"/>
  <c r="E652" i="5"/>
  <c r="D653" i="5"/>
  <c r="A653" i="5" s="1"/>
  <c r="E653" i="5"/>
  <c r="D654" i="5"/>
  <c r="A654" i="5" s="1"/>
  <c r="E654" i="5"/>
  <c r="D655" i="5"/>
  <c r="A655" i="5"/>
  <c r="E655" i="5"/>
  <c r="D656" i="5"/>
  <c r="A656" i="5" s="1"/>
  <c r="E656" i="5"/>
  <c r="D657" i="5"/>
  <c r="A657" i="5" s="1"/>
  <c r="E657" i="5"/>
  <c r="D658" i="5"/>
  <c r="A658" i="5" s="1"/>
  <c r="E658" i="5"/>
  <c r="D659" i="5"/>
  <c r="A659" i="5"/>
  <c r="E659" i="5"/>
  <c r="D660" i="5"/>
  <c r="A660" i="5" s="1"/>
  <c r="E660" i="5"/>
  <c r="D661" i="5"/>
  <c r="A661" i="5" s="1"/>
  <c r="E661" i="5"/>
  <c r="D662" i="5"/>
  <c r="A662" i="5" s="1"/>
  <c r="E662" i="5"/>
  <c r="D663" i="5"/>
  <c r="A663" i="5"/>
  <c r="E663" i="5"/>
  <c r="D664" i="5"/>
  <c r="A664" i="5" s="1"/>
  <c r="E664" i="5"/>
  <c r="D665" i="5"/>
  <c r="A665" i="5" s="1"/>
  <c r="E665" i="5"/>
  <c r="D666" i="5"/>
  <c r="A666" i="5" s="1"/>
  <c r="E666" i="5"/>
  <c r="D667" i="5"/>
  <c r="A667" i="5"/>
  <c r="E667" i="5"/>
  <c r="D668" i="5"/>
  <c r="A668" i="5" s="1"/>
  <c r="E668" i="5"/>
  <c r="D669" i="5"/>
  <c r="A669" i="5" s="1"/>
  <c r="E669" i="5"/>
  <c r="D670" i="5"/>
  <c r="A670" i="5" s="1"/>
  <c r="E670" i="5"/>
  <c r="D671" i="5"/>
  <c r="A671" i="5"/>
  <c r="E671" i="5"/>
  <c r="D672" i="5"/>
  <c r="A672" i="5" s="1"/>
  <c r="E672" i="5"/>
  <c r="D673" i="5"/>
  <c r="A673" i="5" s="1"/>
  <c r="E673" i="5"/>
  <c r="D674" i="5"/>
  <c r="A674" i="5" s="1"/>
  <c r="E674" i="5"/>
  <c r="D675" i="5"/>
  <c r="A675" i="5"/>
  <c r="E675" i="5"/>
  <c r="D676" i="5"/>
  <c r="A676" i="5" s="1"/>
  <c r="E676" i="5"/>
  <c r="D677" i="5"/>
  <c r="A677" i="5" s="1"/>
  <c r="E677" i="5"/>
  <c r="D678" i="5"/>
  <c r="A678" i="5" s="1"/>
  <c r="E678" i="5"/>
  <c r="D679" i="5"/>
  <c r="A679" i="5"/>
  <c r="E679" i="5"/>
  <c r="D680" i="5"/>
  <c r="A680" i="5" s="1"/>
  <c r="E680" i="5"/>
  <c r="D681" i="5"/>
  <c r="A681" i="5" s="1"/>
  <c r="E681" i="5"/>
  <c r="D682" i="5"/>
  <c r="A682" i="5" s="1"/>
  <c r="E682" i="5"/>
  <c r="D683" i="5"/>
  <c r="A683" i="5"/>
  <c r="E683" i="5"/>
  <c r="D684" i="5"/>
  <c r="A684" i="5" s="1"/>
  <c r="E684" i="5"/>
  <c r="D685" i="5"/>
  <c r="A685" i="5" s="1"/>
  <c r="E685" i="5"/>
  <c r="D686" i="5"/>
  <c r="A686" i="5" s="1"/>
  <c r="E686" i="5"/>
  <c r="D687" i="5"/>
  <c r="A687" i="5"/>
  <c r="E687" i="5"/>
  <c r="D688" i="5"/>
  <c r="A688" i="5" s="1"/>
  <c r="E688" i="5"/>
  <c r="D689" i="5"/>
  <c r="A689" i="5" s="1"/>
  <c r="E689" i="5"/>
  <c r="D690" i="5"/>
  <c r="A690" i="5" s="1"/>
  <c r="E690" i="5"/>
  <c r="D691" i="5"/>
  <c r="A691" i="5"/>
  <c r="E691" i="5"/>
  <c r="D692" i="5"/>
  <c r="A692" i="5" s="1"/>
  <c r="E692" i="5"/>
  <c r="D693" i="5"/>
  <c r="A693" i="5" s="1"/>
  <c r="E693" i="5"/>
  <c r="D694" i="5"/>
  <c r="A694" i="5" s="1"/>
  <c r="E694" i="5"/>
  <c r="D695" i="5"/>
  <c r="A695" i="5"/>
  <c r="E695" i="5"/>
  <c r="D696" i="5"/>
  <c r="A696" i="5" s="1"/>
  <c r="E696" i="5"/>
  <c r="D697" i="5"/>
  <c r="A697" i="5" s="1"/>
  <c r="E697" i="5"/>
  <c r="D698" i="5"/>
  <c r="A698" i="5" s="1"/>
  <c r="E698" i="5"/>
  <c r="D699" i="5"/>
  <c r="A699" i="5"/>
  <c r="E699" i="5"/>
  <c r="D700" i="5"/>
  <c r="A700" i="5" s="1"/>
  <c r="E700" i="5"/>
  <c r="D701" i="5"/>
  <c r="A701" i="5" s="1"/>
  <c r="E701" i="5"/>
  <c r="D702" i="5"/>
  <c r="A702" i="5" s="1"/>
  <c r="E702" i="5"/>
  <c r="D703" i="5"/>
  <c r="A703" i="5"/>
  <c r="E703" i="5"/>
  <c r="D704" i="5"/>
  <c r="A704" i="5" s="1"/>
  <c r="E704" i="5"/>
  <c r="D705" i="5"/>
  <c r="A705" i="5" s="1"/>
  <c r="E705" i="5"/>
  <c r="D706" i="5"/>
  <c r="A706" i="5" s="1"/>
  <c r="E706" i="5"/>
  <c r="D707" i="5"/>
  <c r="A707" i="5"/>
  <c r="E707" i="5"/>
  <c r="D708" i="5"/>
  <c r="A708" i="5" s="1"/>
  <c r="E708" i="5"/>
  <c r="D709" i="5"/>
  <c r="A709" i="5" s="1"/>
  <c r="E709" i="5"/>
  <c r="D710" i="5"/>
  <c r="A710" i="5" s="1"/>
  <c r="E710" i="5"/>
  <c r="D711" i="5"/>
  <c r="A711" i="5"/>
  <c r="E711" i="5"/>
  <c r="D712" i="5"/>
  <c r="A712" i="5" s="1"/>
  <c r="E712" i="5"/>
  <c r="D713" i="5"/>
  <c r="A713" i="5" s="1"/>
  <c r="E713" i="5"/>
  <c r="D714" i="5"/>
  <c r="A714" i="5" s="1"/>
  <c r="E714" i="5"/>
  <c r="D715" i="5"/>
  <c r="A715" i="5"/>
  <c r="E715" i="5"/>
  <c r="D716" i="5"/>
  <c r="A716" i="5" s="1"/>
  <c r="E716" i="5"/>
  <c r="D717" i="5"/>
  <c r="A717" i="5" s="1"/>
  <c r="E717" i="5"/>
  <c r="D718" i="5"/>
  <c r="A718" i="5" s="1"/>
  <c r="E718" i="5"/>
  <c r="D719" i="5"/>
  <c r="A719" i="5"/>
  <c r="E719" i="5"/>
  <c r="D720" i="5"/>
  <c r="A720" i="5" s="1"/>
  <c r="E720" i="5"/>
  <c r="D721" i="5"/>
  <c r="A721" i="5" s="1"/>
  <c r="E721" i="5"/>
  <c r="D722" i="5"/>
  <c r="A722" i="5" s="1"/>
  <c r="E722" i="5"/>
  <c r="D723" i="5"/>
  <c r="A723" i="5"/>
  <c r="E723" i="5"/>
  <c r="D724" i="5"/>
  <c r="A724" i="5" s="1"/>
  <c r="E724" i="5"/>
  <c r="D725" i="5"/>
  <c r="A725" i="5" s="1"/>
  <c r="E725" i="5"/>
  <c r="D726" i="5"/>
  <c r="A726" i="5" s="1"/>
  <c r="E726" i="5"/>
  <c r="D727" i="5"/>
  <c r="A727" i="5"/>
  <c r="E727" i="5"/>
  <c r="D728" i="5"/>
  <c r="A728" i="5" s="1"/>
  <c r="E728" i="5"/>
  <c r="D729" i="5"/>
  <c r="A729" i="5" s="1"/>
  <c r="E729" i="5"/>
  <c r="D730" i="5"/>
  <c r="A730" i="5" s="1"/>
  <c r="E730" i="5"/>
  <c r="D731" i="5"/>
  <c r="A731" i="5"/>
  <c r="E731" i="5"/>
  <c r="D732" i="5"/>
  <c r="A732" i="5" s="1"/>
  <c r="E732" i="5"/>
  <c r="D733" i="5"/>
  <c r="A733" i="5" s="1"/>
  <c r="E733" i="5"/>
  <c r="D734" i="5"/>
  <c r="A734" i="5" s="1"/>
  <c r="E734" i="5"/>
  <c r="D735" i="5"/>
  <c r="A735" i="5"/>
  <c r="E735" i="5"/>
  <c r="D736" i="5"/>
  <c r="A736" i="5" s="1"/>
  <c r="E736" i="5"/>
  <c r="D737" i="5"/>
  <c r="A737" i="5" s="1"/>
  <c r="E737" i="5"/>
  <c r="D738" i="5"/>
  <c r="A738" i="5" s="1"/>
  <c r="E738" i="5"/>
  <c r="D739" i="5"/>
  <c r="A739" i="5"/>
  <c r="E739" i="5"/>
  <c r="D740" i="5"/>
  <c r="A740" i="5" s="1"/>
  <c r="E740" i="5"/>
  <c r="D741" i="5"/>
  <c r="A741" i="5" s="1"/>
  <c r="E741" i="5"/>
  <c r="D742" i="5"/>
  <c r="A742" i="5" s="1"/>
  <c r="E742" i="5"/>
  <c r="D743" i="5"/>
  <c r="A743" i="5"/>
  <c r="E743" i="5"/>
  <c r="D744" i="5"/>
  <c r="A744" i="5" s="1"/>
  <c r="E744" i="5"/>
  <c r="D745" i="5"/>
  <c r="A745" i="5" s="1"/>
  <c r="E745" i="5"/>
  <c r="D746" i="5"/>
  <c r="A746" i="5" s="1"/>
  <c r="E746" i="5"/>
  <c r="D747" i="5"/>
  <c r="A747" i="5" s="1"/>
  <c r="E747" i="5"/>
  <c r="D748" i="5"/>
  <c r="A748" i="5" s="1"/>
  <c r="E748" i="5"/>
  <c r="D749" i="5"/>
  <c r="A749" i="5"/>
  <c r="E749" i="5"/>
  <c r="D750" i="5"/>
  <c r="A750" i="5" s="1"/>
  <c r="E750" i="5"/>
  <c r="D751" i="5"/>
  <c r="A751" i="5" s="1"/>
  <c r="E751" i="5"/>
  <c r="D752" i="5"/>
  <c r="A752" i="5" s="1"/>
  <c r="E752" i="5"/>
  <c r="D753" i="5"/>
  <c r="A753" i="5"/>
  <c r="E753" i="5"/>
  <c r="D754" i="5"/>
  <c r="A754" i="5" s="1"/>
  <c r="E754" i="5"/>
  <c r="D755" i="5"/>
  <c r="A755" i="5" s="1"/>
  <c r="E755" i="5"/>
  <c r="D756" i="5"/>
  <c r="A756" i="5" s="1"/>
  <c r="E756" i="5"/>
  <c r="D757" i="5"/>
  <c r="A757" i="5"/>
  <c r="E757" i="5"/>
  <c r="D758" i="5"/>
  <c r="A758" i="5" s="1"/>
  <c r="E758" i="5"/>
  <c r="D759" i="5"/>
  <c r="A759" i="5" s="1"/>
  <c r="E759" i="5"/>
  <c r="D760" i="5"/>
  <c r="A760" i="5" s="1"/>
  <c r="E760" i="5"/>
  <c r="D761" i="5"/>
  <c r="A761" i="5"/>
  <c r="E761" i="5"/>
  <c r="D762" i="5"/>
  <c r="A762" i="5" s="1"/>
  <c r="E762" i="5"/>
  <c r="D763" i="5"/>
  <c r="A763" i="5" s="1"/>
  <c r="E763" i="5"/>
  <c r="D764" i="5"/>
  <c r="A764" i="5" s="1"/>
  <c r="E764" i="5"/>
  <c r="D765" i="5"/>
  <c r="A765" i="5"/>
  <c r="E765" i="5"/>
  <c r="D766" i="5"/>
  <c r="A766" i="5" s="1"/>
  <c r="E766" i="5"/>
  <c r="D767" i="5"/>
  <c r="A767" i="5" s="1"/>
  <c r="E767" i="5"/>
  <c r="D768" i="5"/>
  <c r="A768" i="5" s="1"/>
  <c r="E768" i="5"/>
  <c r="D769" i="5"/>
  <c r="A769" i="5"/>
  <c r="E769" i="5"/>
  <c r="D770" i="5"/>
  <c r="A770" i="5" s="1"/>
  <c r="E770" i="5"/>
  <c r="D771" i="5"/>
  <c r="A771" i="5" s="1"/>
  <c r="E771" i="5"/>
  <c r="D772" i="5"/>
  <c r="A772" i="5" s="1"/>
  <c r="E772" i="5"/>
  <c r="D773" i="5"/>
  <c r="A773" i="5"/>
  <c r="E773" i="5"/>
  <c r="D774" i="5"/>
  <c r="A774" i="5" s="1"/>
  <c r="E774" i="5"/>
  <c r="D775" i="5"/>
  <c r="A775" i="5" s="1"/>
  <c r="E775" i="5"/>
  <c r="D776" i="5"/>
  <c r="A776" i="5" s="1"/>
  <c r="E776" i="5"/>
  <c r="D777" i="5"/>
  <c r="A777" i="5"/>
  <c r="E777" i="5"/>
  <c r="D778" i="5"/>
  <c r="A778" i="5" s="1"/>
  <c r="E778" i="5"/>
  <c r="D779" i="5"/>
  <c r="A779" i="5" s="1"/>
  <c r="E779" i="5"/>
  <c r="D780" i="5"/>
  <c r="A780" i="5" s="1"/>
  <c r="E780" i="5"/>
  <c r="D781" i="5"/>
  <c r="A781" i="5"/>
  <c r="E781" i="5"/>
  <c r="D782" i="5"/>
  <c r="A782" i="5" s="1"/>
  <c r="E782" i="5"/>
  <c r="D783" i="5"/>
  <c r="A783" i="5" s="1"/>
  <c r="E783" i="5"/>
  <c r="D784" i="5"/>
  <c r="A784" i="5" s="1"/>
  <c r="E784" i="5"/>
  <c r="D785" i="5"/>
  <c r="A785" i="5"/>
  <c r="E785" i="5"/>
  <c r="D786" i="5"/>
  <c r="A786" i="5" s="1"/>
  <c r="E786" i="5"/>
  <c r="D787" i="5"/>
  <c r="A787" i="5" s="1"/>
  <c r="E787" i="5"/>
  <c r="D788" i="5"/>
  <c r="A788" i="5" s="1"/>
  <c r="E788" i="5"/>
  <c r="D789" i="5"/>
  <c r="A789" i="5"/>
  <c r="E789" i="5"/>
  <c r="D790" i="5"/>
  <c r="A790" i="5" s="1"/>
  <c r="E790" i="5"/>
  <c r="D791" i="5"/>
  <c r="A791" i="5" s="1"/>
  <c r="E791" i="5"/>
  <c r="D792" i="5"/>
  <c r="A792" i="5" s="1"/>
  <c r="E792" i="5"/>
  <c r="D793" i="5"/>
  <c r="A793" i="5"/>
  <c r="E793" i="5"/>
  <c r="D794" i="5"/>
  <c r="A794" i="5" s="1"/>
  <c r="E794" i="5"/>
  <c r="D795" i="5"/>
  <c r="A795" i="5" s="1"/>
  <c r="E795" i="5"/>
  <c r="D796" i="5"/>
  <c r="A796" i="5" s="1"/>
  <c r="E796" i="5"/>
  <c r="D797" i="5"/>
  <c r="A797" i="5"/>
  <c r="E797" i="5"/>
  <c r="D798" i="5"/>
  <c r="A798" i="5" s="1"/>
  <c r="E798" i="5"/>
  <c r="D799" i="5"/>
  <c r="A799" i="5" s="1"/>
  <c r="E799" i="5"/>
  <c r="D800" i="5"/>
  <c r="A800" i="5" s="1"/>
  <c r="E800" i="5"/>
  <c r="D801" i="5"/>
  <c r="A801" i="5"/>
  <c r="E801" i="5"/>
  <c r="D802" i="5"/>
  <c r="A802" i="5" s="1"/>
  <c r="E802" i="5"/>
  <c r="D803" i="5"/>
  <c r="A803" i="5" s="1"/>
  <c r="E803" i="5"/>
  <c r="D804" i="5"/>
  <c r="A804" i="5" s="1"/>
  <c r="E804" i="5"/>
  <c r="D805" i="5"/>
  <c r="A805" i="5"/>
  <c r="E805" i="5"/>
  <c r="D806" i="5"/>
  <c r="A806" i="5" s="1"/>
  <c r="E806" i="5"/>
  <c r="D807" i="5"/>
  <c r="A807" i="5" s="1"/>
  <c r="E807" i="5"/>
  <c r="D808" i="5"/>
  <c r="A808" i="5" s="1"/>
  <c r="E808" i="5"/>
  <c r="D809" i="5"/>
  <c r="A809" i="5"/>
  <c r="E809" i="5"/>
  <c r="D810" i="5"/>
  <c r="A810" i="5" s="1"/>
  <c r="E810" i="5"/>
  <c r="D811" i="5"/>
  <c r="A811" i="5" s="1"/>
  <c r="E811" i="5"/>
  <c r="D812" i="5"/>
  <c r="A812" i="5" s="1"/>
  <c r="E812" i="5"/>
  <c r="D813" i="5"/>
  <c r="A813" i="5"/>
  <c r="E813" i="5"/>
  <c r="D814" i="5"/>
  <c r="A814" i="5" s="1"/>
  <c r="E814" i="5"/>
  <c r="D815" i="5"/>
  <c r="A815" i="5" s="1"/>
  <c r="E815" i="5"/>
  <c r="D816" i="5"/>
  <c r="A816" i="5" s="1"/>
  <c r="E816" i="5"/>
  <c r="D817" i="5"/>
  <c r="A817" i="5"/>
  <c r="E817" i="5"/>
  <c r="D818" i="5"/>
  <c r="A818" i="5" s="1"/>
  <c r="E818" i="5"/>
  <c r="D819" i="5"/>
  <c r="A819" i="5" s="1"/>
  <c r="E819" i="5"/>
  <c r="D820" i="5"/>
  <c r="A820" i="5" s="1"/>
  <c r="E820" i="5"/>
  <c r="D821" i="5"/>
  <c r="A821" i="5"/>
  <c r="E821" i="5"/>
  <c r="D822" i="5"/>
  <c r="A822" i="5" s="1"/>
  <c r="E822" i="5"/>
  <c r="D823" i="5"/>
  <c r="A823" i="5" s="1"/>
  <c r="E823" i="5"/>
  <c r="D824" i="5"/>
  <c r="A824" i="5" s="1"/>
  <c r="E824" i="5"/>
  <c r="D825" i="5"/>
  <c r="A825" i="5"/>
  <c r="E825" i="5"/>
  <c r="D826" i="5"/>
  <c r="A826" i="5" s="1"/>
  <c r="E826" i="5"/>
  <c r="D827" i="5"/>
  <c r="A827" i="5" s="1"/>
  <c r="E827" i="5"/>
  <c r="D828" i="5"/>
  <c r="A828" i="5" s="1"/>
  <c r="E828" i="5"/>
  <c r="D829" i="5"/>
  <c r="A829" i="5"/>
  <c r="E829" i="5"/>
  <c r="D830" i="5"/>
  <c r="A830" i="5" s="1"/>
  <c r="E830" i="5"/>
  <c r="D831" i="5"/>
  <c r="A831" i="5" s="1"/>
  <c r="E831" i="5"/>
  <c r="D832" i="5"/>
  <c r="A832" i="5" s="1"/>
  <c r="E832" i="5"/>
  <c r="D833" i="5"/>
  <c r="A833" i="5"/>
  <c r="E833" i="5"/>
  <c r="D834" i="5"/>
  <c r="A834" i="5" s="1"/>
  <c r="E834" i="5"/>
  <c r="D835" i="5"/>
  <c r="A835" i="5" s="1"/>
  <c r="E835" i="5"/>
  <c r="D836" i="5"/>
  <c r="A836" i="5" s="1"/>
  <c r="E836" i="5"/>
  <c r="D837" i="5"/>
  <c r="A837" i="5"/>
  <c r="E837" i="5"/>
  <c r="D838" i="5"/>
  <c r="A838" i="5" s="1"/>
  <c r="E838" i="5"/>
  <c r="D839" i="5"/>
  <c r="A839" i="5" s="1"/>
  <c r="E839" i="5"/>
  <c r="D840" i="5"/>
  <c r="A840" i="5" s="1"/>
  <c r="E840" i="5"/>
  <c r="D841" i="5"/>
  <c r="A841" i="5"/>
  <c r="E841" i="5"/>
  <c r="D842" i="5"/>
  <c r="A842" i="5" s="1"/>
  <c r="E842" i="5"/>
  <c r="D843" i="5"/>
  <c r="A843" i="5" s="1"/>
  <c r="E843" i="5"/>
  <c r="D844" i="5"/>
  <c r="A844" i="5" s="1"/>
  <c r="E844" i="5"/>
  <c r="D845" i="5"/>
  <c r="A845" i="5"/>
  <c r="E845" i="5"/>
  <c r="D846" i="5"/>
  <c r="A846" i="5" s="1"/>
  <c r="E846" i="5"/>
  <c r="D847" i="5"/>
  <c r="A847" i="5" s="1"/>
  <c r="E847" i="5"/>
  <c r="D848" i="5"/>
  <c r="A848" i="5" s="1"/>
  <c r="E848" i="5"/>
  <c r="D849" i="5"/>
  <c r="A849" i="5"/>
  <c r="E849" i="5"/>
  <c r="D850" i="5"/>
  <c r="A850" i="5" s="1"/>
  <c r="E850" i="5"/>
  <c r="D851" i="5"/>
  <c r="A851" i="5" s="1"/>
  <c r="E851" i="5"/>
  <c r="D852" i="5"/>
  <c r="A852" i="5" s="1"/>
  <c r="E852" i="5"/>
  <c r="D853" i="5"/>
  <c r="A853" i="5"/>
  <c r="E853" i="5"/>
  <c r="D854" i="5"/>
  <c r="A854" i="5" s="1"/>
  <c r="E854" i="5"/>
  <c r="D855" i="5"/>
  <c r="A855" i="5" s="1"/>
  <c r="E855" i="5"/>
  <c r="D856" i="5"/>
  <c r="A856" i="5" s="1"/>
  <c r="E856" i="5"/>
  <c r="D857" i="5"/>
  <c r="A857" i="5"/>
  <c r="E857" i="5"/>
  <c r="D858" i="5"/>
  <c r="A858" i="5" s="1"/>
  <c r="E858" i="5"/>
  <c r="D859" i="5"/>
  <c r="A859" i="5" s="1"/>
  <c r="E859" i="5"/>
  <c r="D860" i="5"/>
  <c r="A860" i="5" s="1"/>
  <c r="E860" i="5"/>
  <c r="D861" i="5"/>
  <c r="A861" i="5"/>
  <c r="E861" i="5"/>
  <c r="D862" i="5"/>
  <c r="A862" i="5" s="1"/>
  <c r="E862" i="5"/>
  <c r="D863" i="5"/>
  <c r="A863" i="5" s="1"/>
  <c r="E863" i="5"/>
  <c r="D864" i="5"/>
  <c r="A864" i="5" s="1"/>
  <c r="E864" i="5"/>
  <c r="D865" i="5"/>
  <c r="A865" i="5"/>
  <c r="E865" i="5"/>
  <c r="D866" i="5"/>
  <c r="A866" i="5" s="1"/>
  <c r="E866" i="5"/>
  <c r="D867" i="5"/>
  <c r="A867" i="5" s="1"/>
  <c r="E867" i="5"/>
  <c r="D868" i="5"/>
  <c r="A868" i="5" s="1"/>
  <c r="E868" i="5"/>
  <c r="D869" i="5"/>
  <c r="A869" i="5"/>
  <c r="E869" i="5"/>
  <c r="D870" i="5"/>
  <c r="A870" i="5" s="1"/>
  <c r="E870" i="5"/>
  <c r="D871" i="5"/>
  <c r="A871" i="5" s="1"/>
  <c r="E871" i="5"/>
  <c r="D872" i="5"/>
  <c r="A872" i="5" s="1"/>
  <c r="E872" i="5"/>
  <c r="D873" i="5"/>
  <c r="A873" i="5"/>
  <c r="E873" i="5"/>
  <c r="D874" i="5"/>
  <c r="A874" i="5" s="1"/>
  <c r="E874" i="5"/>
  <c r="D875" i="5"/>
  <c r="A875" i="5" s="1"/>
  <c r="E875" i="5"/>
  <c r="D876" i="5"/>
  <c r="A876" i="5" s="1"/>
  <c r="E876" i="5"/>
  <c r="D877" i="5"/>
  <c r="A877" i="5"/>
  <c r="E877" i="5"/>
  <c r="D878" i="5"/>
  <c r="A878" i="5" s="1"/>
  <c r="E878" i="5"/>
  <c r="D879" i="5"/>
  <c r="A879" i="5" s="1"/>
  <c r="E879" i="5"/>
  <c r="D880" i="5"/>
  <c r="A880" i="5" s="1"/>
  <c r="E880" i="5"/>
  <c r="D881" i="5"/>
  <c r="A881" i="5"/>
  <c r="E881" i="5"/>
  <c r="D882" i="5"/>
  <c r="A882" i="5" s="1"/>
  <c r="E882" i="5"/>
  <c r="D883" i="5"/>
  <c r="A883" i="5" s="1"/>
  <c r="E883" i="5"/>
  <c r="D884" i="5"/>
  <c r="A884" i="5" s="1"/>
  <c r="E884" i="5"/>
  <c r="D885" i="5"/>
  <c r="A885" i="5"/>
  <c r="E885" i="5"/>
  <c r="D886" i="5"/>
  <c r="A886" i="5" s="1"/>
  <c r="E886" i="5"/>
  <c r="D887" i="5"/>
  <c r="A887" i="5" s="1"/>
  <c r="E887" i="5"/>
  <c r="D888" i="5"/>
  <c r="A888" i="5" s="1"/>
  <c r="E888" i="5"/>
  <c r="D889" i="5"/>
  <c r="A889" i="5"/>
  <c r="E889" i="5"/>
  <c r="D890" i="5"/>
  <c r="A890" i="5" s="1"/>
  <c r="E890" i="5"/>
  <c r="D891" i="5"/>
  <c r="A891" i="5" s="1"/>
  <c r="E891" i="5"/>
  <c r="D892" i="5"/>
  <c r="A892" i="5" s="1"/>
  <c r="E892" i="5"/>
  <c r="D893" i="5"/>
  <c r="A893" i="5"/>
  <c r="E893" i="5"/>
  <c r="D894" i="5"/>
  <c r="A894" i="5" s="1"/>
  <c r="E894" i="5"/>
  <c r="D895" i="5"/>
  <c r="A895" i="5" s="1"/>
  <c r="E895" i="5"/>
  <c r="D896" i="5"/>
  <c r="A896" i="5" s="1"/>
  <c r="E896" i="5"/>
  <c r="D897" i="5"/>
  <c r="A897" i="5"/>
  <c r="E897" i="5"/>
  <c r="D898" i="5"/>
  <c r="A898" i="5" s="1"/>
  <c r="E898" i="5"/>
  <c r="D899" i="5"/>
  <c r="A899" i="5" s="1"/>
  <c r="E899" i="5"/>
  <c r="D900" i="5"/>
  <c r="A900" i="5" s="1"/>
  <c r="E900" i="5"/>
  <c r="D901" i="5"/>
  <c r="A901" i="5"/>
  <c r="E901" i="5"/>
  <c r="D902" i="5"/>
  <c r="A902" i="5" s="1"/>
  <c r="E902" i="5"/>
  <c r="D903" i="5"/>
  <c r="A903" i="5" s="1"/>
  <c r="E903" i="5"/>
  <c r="D904" i="5"/>
  <c r="A904" i="5" s="1"/>
  <c r="E904" i="5"/>
  <c r="D905" i="5"/>
  <c r="A905" i="5"/>
  <c r="E905" i="5"/>
  <c r="D906" i="5"/>
  <c r="A906" i="5" s="1"/>
  <c r="E906" i="5"/>
  <c r="D907" i="5"/>
  <c r="A907" i="5" s="1"/>
  <c r="E907" i="5"/>
  <c r="D908" i="5"/>
  <c r="A908" i="5" s="1"/>
  <c r="E908" i="5"/>
  <c r="D909" i="5"/>
  <c r="A909" i="5"/>
  <c r="E909" i="5"/>
  <c r="D910" i="5"/>
  <c r="A910" i="5" s="1"/>
  <c r="E910" i="5"/>
  <c r="D911" i="5"/>
  <c r="A911" i="5" s="1"/>
  <c r="E911" i="5"/>
  <c r="D912" i="5"/>
  <c r="A912" i="5" s="1"/>
  <c r="E912" i="5"/>
  <c r="D913" i="5"/>
  <c r="A913" i="5"/>
  <c r="E913" i="5"/>
  <c r="D914" i="5"/>
  <c r="A914" i="5" s="1"/>
  <c r="E914" i="5"/>
  <c r="D915" i="5"/>
  <c r="A915" i="5" s="1"/>
  <c r="E915" i="5"/>
  <c r="D916" i="5"/>
  <c r="A916" i="5" s="1"/>
  <c r="E916" i="5"/>
  <c r="D917" i="5"/>
  <c r="A917" i="5"/>
  <c r="E917" i="5"/>
  <c r="D918" i="5"/>
  <c r="A918" i="5" s="1"/>
  <c r="E918" i="5"/>
  <c r="D919" i="5"/>
  <c r="A919" i="5" s="1"/>
  <c r="E919" i="5"/>
  <c r="D920" i="5"/>
  <c r="A920" i="5" s="1"/>
  <c r="E920" i="5"/>
  <c r="D921" i="5"/>
  <c r="A921" i="5"/>
  <c r="E921" i="5"/>
  <c r="D922" i="5"/>
  <c r="A922" i="5" s="1"/>
  <c r="E922" i="5"/>
  <c r="D923" i="5"/>
  <c r="A923" i="5" s="1"/>
  <c r="E923" i="5"/>
  <c r="D924" i="5"/>
  <c r="A924" i="5" s="1"/>
  <c r="E924" i="5"/>
  <c r="D925" i="5"/>
  <c r="A925" i="5"/>
  <c r="E925" i="5"/>
  <c r="D926" i="5"/>
  <c r="A926" i="5" s="1"/>
  <c r="E926" i="5"/>
  <c r="D927" i="5"/>
  <c r="A927" i="5" s="1"/>
  <c r="E927" i="5"/>
  <c r="D928" i="5"/>
  <c r="A928" i="5" s="1"/>
  <c r="E928" i="5"/>
  <c r="D929" i="5"/>
  <c r="A929" i="5"/>
  <c r="E929" i="5"/>
  <c r="D930" i="5"/>
  <c r="A930" i="5" s="1"/>
  <c r="E930" i="5"/>
  <c r="D931" i="5"/>
  <c r="A931" i="5" s="1"/>
  <c r="E931" i="5"/>
  <c r="D932" i="5"/>
  <c r="A932" i="5" s="1"/>
  <c r="E932" i="5"/>
  <c r="D933" i="5"/>
  <c r="A933" i="5"/>
  <c r="E933" i="5"/>
  <c r="D934" i="5"/>
  <c r="A934" i="5" s="1"/>
  <c r="E934" i="5"/>
  <c r="D935" i="5"/>
  <c r="A935" i="5" s="1"/>
  <c r="E935" i="5"/>
  <c r="D936" i="5"/>
  <c r="A936" i="5" s="1"/>
  <c r="E936" i="5"/>
  <c r="D937" i="5"/>
  <c r="A937" i="5"/>
  <c r="E937" i="5"/>
  <c r="D938" i="5"/>
  <c r="A938" i="5" s="1"/>
  <c r="E938" i="5"/>
  <c r="D939" i="5"/>
  <c r="A939" i="5" s="1"/>
  <c r="E939" i="5"/>
  <c r="D940" i="5"/>
  <c r="A940" i="5" s="1"/>
  <c r="E940" i="5"/>
  <c r="D941" i="5"/>
  <c r="A941" i="5"/>
  <c r="E941" i="5"/>
  <c r="D942" i="5"/>
  <c r="A942" i="5" s="1"/>
  <c r="E942" i="5"/>
  <c r="D943" i="5"/>
  <c r="A943" i="5" s="1"/>
  <c r="E943" i="5"/>
  <c r="D944" i="5"/>
  <c r="A944" i="5" s="1"/>
  <c r="E944" i="5"/>
  <c r="D945" i="5"/>
  <c r="A945" i="5"/>
  <c r="E945" i="5"/>
  <c r="D946" i="5"/>
  <c r="A946" i="5" s="1"/>
  <c r="E946" i="5"/>
  <c r="D947" i="5"/>
  <c r="A947" i="5" s="1"/>
  <c r="E947" i="5"/>
  <c r="D948" i="5"/>
  <c r="A948" i="5" s="1"/>
  <c r="E948" i="5"/>
  <c r="D949" i="5"/>
  <c r="A949" i="5"/>
  <c r="E949" i="5"/>
  <c r="D950" i="5"/>
  <c r="A950" i="5" s="1"/>
  <c r="E950" i="5"/>
  <c r="D951" i="5"/>
  <c r="A951" i="5" s="1"/>
  <c r="E951" i="5"/>
  <c r="D952" i="5"/>
  <c r="A952" i="5" s="1"/>
  <c r="E952" i="5"/>
  <c r="D953" i="5"/>
  <c r="A953" i="5"/>
  <c r="E953" i="5"/>
  <c r="D954" i="5"/>
  <c r="A954" i="5" s="1"/>
  <c r="E954" i="5"/>
  <c r="D955" i="5"/>
  <c r="A955" i="5" s="1"/>
  <c r="E955" i="5"/>
  <c r="D956" i="5"/>
  <c r="A956" i="5" s="1"/>
  <c r="E956" i="5"/>
  <c r="D957" i="5"/>
  <c r="A957" i="5"/>
  <c r="E957" i="5"/>
  <c r="D958" i="5"/>
  <c r="A958" i="5" s="1"/>
  <c r="E958" i="5"/>
  <c r="D959" i="5"/>
  <c r="A959" i="5" s="1"/>
  <c r="E959" i="5"/>
  <c r="D960" i="5"/>
  <c r="A960" i="5" s="1"/>
  <c r="E960" i="5"/>
  <c r="D961" i="5"/>
  <c r="A961" i="5"/>
  <c r="E961" i="5"/>
  <c r="D962" i="5"/>
  <c r="A962" i="5" s="1"/>
  <c r="E962" i="5"/>
  <c r="D963" i="5"/>
  <c r="A963" i="5" s="1"/>
  <c r="E963" i="5"/>
  <c r="D964" i="5"/>
  <c r="A964" i="5" s="1"/>
  <c r="E964" i="5"/>
  <c r="D965" i="5"/>
  <c r="A965" i="5"/>
  <c r="E965" i="5"/>
  <c r="D966" i="5"/>
  <c r="A966" i="5" s="1"/>
  <c r="E966" i="5"/>
  <c r="D967" i="5"/>
  <c r="A967" i="5" s="1"/>
  <c r="E967" i="5"/>
  <c r="D968" i="5"/>
  <c r="A968" i="5" s="1"/>
  <c r="E968" i="5"/>
  <c r="D969" i="5"/>
  <c r="A969" i="5"/>
  <c r="E969" i="5"/>
  <c r="D970" i="5"/>
  <c r="A970" i="5" s="1"/>
  <c r="E970" i="5"/>
  <c r="D971" i="5"/>
  <c r="A971" i="5" s="1"/>
  <c r="E971" i="5"/>
  <c r="D972" i="5"/>
  <c r="A972" i="5" s="1"/>
  <c r="E972" i="5"/>
  <c r="D973" i="5"/>
  <c r="A973" i="5"/>
  <c r="E973" i="5"/>
  <c r="D974" i="5"/>
  <c r="A974" i="5" s="1"/>
  <c r="E974" i="5"/>
  <c r="D975" i="5"/>
  <c r="A975" i="5" s="1"/>
  <c r="E975" i="5"/>
  <c r="D976" i="5"/>
  <c r="A976" i="5" s="1"/>
  <c r="E976" i="5"/>
  <c r="D977" i="5"/>
  <c r="A977" i="5"/>
  <c r="E977" i="5"/>
  <c r="D978" i="5"/>
  <c r="A978" i="5" s="1"/>
  <c r="E978" i="5"/>
  <c r="D979" i="5"/>
  <c r="A979" i="5" s="1"/>
  <c r="E979" i="5"/>
  <c r="D980" i="5"/>
  <c r="A980" i="5" s="1"/>
  <c r="E980" i="5"/>
  <c r="D981" i="5"/>
  <c r="A981" i="5"/>
  <c r="E981" i="5"/>
  <c r="D982" i="5"/>
  <c r="A982" i="5" s="1"/>
  <c r="E982" i="5"/>
  <c r="D983" i="5"/>
  <c r="A983" i="5" s="1"/>
  <c r="E983" i="5"/>
  <c r="D984" i="5"/>
  <c r="A984" i="5" s="1"/>
  <c r="E984" i="5"/>
  <c r="D985" i="5"/>
  <c r="A985" i="5"/>
  <c r="E985" i="5"/>
  <c r="D986" i="5"/>
  <c r="A986" i="5" s="1"/>
  <c r="E986" i="5"/>
  <c r="D987" i="5"/>
  <c r="A987" i="5" s="1"/>
  <c r="E987" i="5"/>
  <c r="D988" i="5"/>
  <c r="A988" i="5" s="1"/>
  <c r="E988" i="5"/>
  <c r="D989" i="5"/>
  <c r="A989" i="5"/>
  <c r="E989" i="5"/>
  <c r="D990" i="5"/>
  <c r="A990" i="5" s="1"/>
  <c r="E990" i="5"/>
  <c r="D991" i="5"/>
  <c r="A991" i="5" s="1"/>
  <c r="E991" i="5"/>
  <c r="D992" i="5"/>
  <c r="A992" i="5" s="1"/>
  <c r="E992" i="5"/>
  <c r="D993" i="5"/>
  <c r="A993" i="5"/>
  <c r="E993" i="5"/>
  <c r="D994" i="5"/>
  <c r="A994" i="5" s="1"/>
  <c r="E994" i="5"/>
  <c r="D995" i="5"/>
  <c r="A995" i="5" s="1"/>
  <c r="E995" i="5"/>
  <c r="D996" i="5"/>
  <c r="A996" i="5" s="1"/>
  <c r="E996" i="5"/>
  <c r="D997" i="5"/>
  <c r="A997" i="5"/>
  <c r="E997" i="5"/>
  <c r="D998" i="5"/>
  <c r="A998" i="5" s="1"/>
  <c r="E998" i="5"/>
  <c r="D999" i="5"/>
  <c r="A999" i="5" s="1"/>
  <c r="E999" i="5"/>
  <c r="D1000" i="5"/>
  <c r="A1000" i="5" s="1"/>
  <c r="E1000" i="5"/>
  <c r="D1001" i="5"/>
  <c r="A1001" i="5"/>
  <c r="E1001" i="5"/>
  <c r="A5" i="5"/>
  <c r="B50" i="10"/>
  <c r="G50" i="10"/>
  <c r="A50" i="10"/>
  <c r="G6" i="10"/>
  <c r="C6" i="10" s="1"/>
  <c r="F6" i="10" s="1"/>
  <c r="N11" i="4"/>
  <c r="A1" i="10"/>
  <c r="C2" i="12"/>
  <c r="A6" i="5"/>
  <c r="A14" i="5"/>
  <c r="A22" i="5"/>
  <c r="A30" i="5"/>
  <c r="A38" i="5"/>
  <c r="A46" i="5"/>
  <c r="A54" i="5"/>
  <c r="A62" i="5"/>
  <c r="A70" i="5"/>
  <c r="A78" i="5"/>
  <c r="A86" i="5"/>
  <c r="A102" i="5"/>
  <c r="A110" i="5"/>
  <c r="A118" i="5"/>
  <c r="A126" i="5"/>
  <c r="A134" i="5"/>
  <c r="A142" i="5"/>
  <c r="A150" i="5"/>
  <c r="A166" i="5"/>
  <c r="A174" i="5"/>
  <c r="A182" i="5"/>
  <c r="A190" i="5"/>
  <c r="A198" i="5"/>
  <c r="A206" i="5"/>
  <c r="A214" i="5"/>
  <c r="A230" i="5"/>
  <c r="A246" i="5"/>
  <c r="A278" i="5"/>
  <c r="A310" i="5"/>
  <c r="A342" i="5"/>
  <c r="A374" i="5"/>
  <c r="A406" i="5"/>
  <c r="C39" i="10"/>
  <c r="F39" i="10" s="1"/>
  <c r="C38" i="10"/>
  <c r="F38" i="10" s="1"/>
  <c r="C37" i="10"/>
  <c r="F37" i="10" s="1"/>
  <c r="C36" i="10"/>
  <c r="C34" i="10"/>
  <c r="F34" i="10" s="1"/>
  <c r="C33" i="10"/>
  <c r="F33" i="10" s="1"/>
  <c r="C32" i="10"/>
  <c r="F32" i="10" s="1"/>
  <c r="C31" i="10"/>
  <c r="F31" i="10" s="1"/>
  <c r="C11" i="10"/>
  <c r="F11" i="10" s="1"/>
  <c r="B32" i="10"/>
  <c r="B33" i="10"/>
  <c r="B34" i="10"/>
  <c r="B31" i="10"/>
  <c r="C29" i="10"/>
  <c r="F29" i="10" s="1"/>
  <c r="C28" i="10"/>
  <c r="F28" i="10" s="1"/>
  <c r="C27" i="10"/>
  <c r="F27" i="10" s="1"/>
  <c r="C26" i="10"/>
  <c r="F26" i="10" s="1"/>
  <c r="B27" i="10"/>
  <c r="B28" i="10"/>
  <c r="B29" i="10"/>
  <c r="B26" i="10"/>
  <c r="C24" i="10"/>
  <c r="F24" i="10" s="1"/>
  <c r="C23" i="10"/>
  <c r="F23" i="10" s="1"/>
  <c r="C22" i="10"/>
  <c r="F22" i="10" s="1"/>
  <c r="C21" i="10"/>
  <c r="F21" i="10" s="1"/>
  <c r="B22" i="10"/>
  <c r="B23" i="10"/>
  <c r="B24" i="10"/>
  <c r="B21" i="10"/>
  <c r="C19" i="10"/>
  <c r="F19" i="10" s="1"/>
  <c r="C18" i="10"/>
  <c r="F18" i="10" s="1"/>
  <c r="C17" i="10"/>
  <c r="F17" i="10" s="1"/>
  <c r="C16" i="10"/>
  <c r="F16" i="10" s="1"/>
  <c r="B17" i="10"/>
  <c r="B18" i="10"/>
  <c r="B19" i="10"/>
  <c r="B16" i="10"/>
  <c r="F36" i="10"/>
  <c r="B2" i="5"/>
  <c r="D11" i="4"/>
  <c r="D2" i="12"/>
  <c r="B2" i="12"/>
  <c r="A2" i="12"/>
  <c r="E2" i="12"/>
  <c r="A1" i="12"/>
  <c r="D5" i="11"/>
  <c r="C5" i="11"/>
  <c r="B5" i="11"/>
  <c r="A1" i="11"/>
  <c r="C3" i="10"/>
  <c r="B3" i="10"/>
  <c r="A3" i="10"/>
  <c r="D1" i="10"/>
  <c r="B4" i="4"/>
  <c r="C4" i="5"/>
  <c r="I2" i="5"/>
  <c r="N4" i="5"/>
  <c r="M4" i="5"/>
  <c r="L4" i="5"/>
  <c r="K4" i="5"/>
  <c r="J4" i="5"/>
  <c r="I4" i="5"/>
  <c r="H4" i="5"/>
  <c r="G4" i="5"/>
  <c r="F4" i="5"/>
  <c r="E4" i="5"/>
  <c r="D4" i="5"/>
  <c r="B4" i="5"/>
  <c r="A51" i="10"/>
  <c r="C51" i="10" s="1"/>
  <c r="F51" i="10" s="1"/>
  <c r="B58" i="4"/>
  <c r="D27" i="4"/>
  <c r="B55" i="4"/>
  <c r="A39" i="10" s="1"/>
  <c r="B54" i="4"/>
  <c r="A38" i="10" s="1"/>
  <c r="B53" i="4"/>
  <c r="A37" i="10" s="1"/>
  <c r="B52" i="4"/>
  <c r="A36" i="10" s="1"/>
  <c r="B49" i="4"/>
  <c r="A34" i="10" s="1"/>
  <c r="B48" i="4"/>
  <c r="A33" i="10" s="1"/>
  <c r="B47" i="4"/>
  <c r="A32" i="10" s="1"/>
  <c r="B46" i="4"/>
  <c r="A31" i="10" s="1"/>
  <c r="B43" i="4"/>
  <c r="A29" i="10" s="1"/>
  <c r="B42" i="4"/>
  <c r="A28" i="10" s="1"/>
  <c r="B41" i="4"/>
  <c r="A27" i="10" s="1"/>
  <c r="B40" i="4"/>
  <c r="A26" i="10" s="1"/>
  <c r="B37" i="4"/>
  <c r="A24" i="10" s="1"/>
  <c r="B36" i="4"/>
  <c r="A23" i="10" s="1"/>
  <c r="B35" i="4"/>
  <c r="A22" i="10" s="1"/>
  <c r="B34" i="4"/>
  <c r="A21" i="10" s="1"/>
  <c r="B31" i="4"/>
  <c r="A19" i="10" s="1"/>
  <c r="B30" i="4"/>
  <c r="A18" i="10" s="1"/>
  <c r="B29" i="4"/>
  <c r="A17" i="10" s="1"/>
  <c r="B28" i="4"/>
  <c r="A16" i="10" s="1"/>
  <c r="B25" i="4"/>
  <c r="A14" i="10" s="1"/>
  <c r="B24" i="4"/>
  <c r="A13" i="10" s="1"/>
  <c r="B23" i="4"/>
  <c r="A12" i="10" s="1"/>
  <c r="B22" i="4"/>
  <c r="D21" i="4"/>
  <c r="B21" i="4"/>
  <c r="A10" i="10" s="1"/>
  <c r="G58" i="4"/>
  <c r="G51" i="4"/>
  <c r="G45" i="4"/>
  <c r="G39" i="4"/>
  <c r="G33" i="4"/>
  <c r="G27" i="4"/>
  <c r="G21" i="4"/>
  <c r="D58" i="4"/>
  <c r="D51" i="4"/>
  <c r="D45" i="4"/>
  <c r="D39" i="4"/>
  <c r="D33" i="4"/>
  <c r="A79" i="4"/>
  <c r="B77" i="4"/>
  <c r="A49" i="10" s="1"/>
  <c r="B75" i="4"/>
  <c r="A48" i="10" s="1"/>
  <c r="B73" i="4"/>
  <c r="A47" i="10" s="1"/>
  <c r="B71" i="4"/>
  <c r="A46" i="10" s="1"/>
  <c r="B69" i="4"/>
  <c r="A45" i="10" s="1"/>
  <c r="B67" i="4"/>
  <c r="A44" i="10" s="1"/>
  <c r="B65" i="4"/>
  <c r="A43" i="10" s="1"/>
  <c r="B63" i="4"/>
  <c r="A42" i="10" s="1"/>
  <c r="B61" i="4"/>
  <c r="A41" i="10" s="1"/>
  <c r="B59" i="4"/>
  <c r="A40" i="10" s="1"/>
  <c r="B57" i="4"/>
  <c r="B51" i="4"/>
  <c r="A35" i="10" s="1"/>
  <c r="B45" i="4"/>
  <c r="A30" i="10" s="1"/>
  <c r="B39" i="4"/>
  <c r="A25" i="10" s="1"/>
  <c r="B33" i="4"/>
  <c r="A20" i="10" s="1"/>
  <c r="B27" i="4"/>
  <c r="A15" i="10" s="1"/>
  <c r="B20" i="4"/>
  <c r="B18" i="4"/>
  <c r="A9" i="10" s="1"/>
  <c r="B51" i="10"/>
  <c r="B13" i="4"/>
  <c r="B14" i="4"/>
  <c r="B15" i="4"/>
  <c r="B16" i="4"/>
  <c r="A8" i="10" s="1"/>
  <c r="B17" i="4"/>
  <c r="B12" i="4"/>
  <c r="B9" i="4"/>
  <c r="A5" i="10" s="1"/>
  <c r="B8" i="4"/>
  <c r="A4" i="10" s="1"/>
  <c r="B7" i="4"/>
  <c r="B6" i="4"/>
  <c r="D2" i="4"/>
  <c r="B24" i="3"/>
  <c r="C3" i="3"/>
  <c r="C4" i="3"/>
  <c r="C5" i="3"/>
  <c r="C6" i="3"/>
  <c r="C7" i="3"/>
  <c r="C8" i="3"/>
  <c r="C9" i="3"/>
  <c r="C10" i="3"/>
  <c r="C11" i="3"/>
  <c r="C12" i="3"/>
  <c r="C13" i="3"/>
  <c r="C14" i="3"/>
  <c r="C15" i="3"/>
  <c r="C16" i="3"/>
  <c r="C17" i="3"/>
  <c r="C18" i="3"/>
  <c r="C19" i="3"/>
  <c r="C20" i="3"/>
  <c r="C21" i="3"/>
  <c r="C22" i="3"/>
  <c r="C23" i="3"/>
  <c r="C2" i="3"/>
  <c r="B2" i="3"/>
  <c r="B3" i="3"/>
  <c r="B4" i="3"/>
  <c r="B5" i="3"/>
  <c r="B6" i="3"/>
  <c r="B7" i="3"/>
  <c r="B8" i="3"/>
  <c r="B9" i="3"/>
  <c r="B10" i="3"/>
  <c r="B11" i="3"/>
  <c r="B12" i="3"/>
  <c r="B13" i="3"/>
  <c r="B14" i="3"/>
  <c r="B15" i="3"/>
  <c r="B16" i="3"/>
  <c r="B17" i="3"/>
  <c r="B18" i="3"/>
  <c r="B19" i="3"/>
  <c r="B20" i="3"/>
  <c r="B21" i="3"/>
  <c r="B22" i="3"/>
  <c r="B23" i="3"/>
  <c r="A59" i="2"/>
  <c r="A60" i="2"/>
  <c r="A61" i="2"/>
  <c r="A62" i="2"/>
  <c r="A63" i="2"/>
  <c r="A64" i="2"/>
  <c r="A65" i="2"/>
  <c r="A58" i="2"/>
  <c r="A55" i="2"/>
  <c r="A56" i="2"/>
  <c r="A44" i="2"/>
  <c r="A46" i="2"/>
  <c r="A47" i="2"/>
  <c r="A48" i="2"/>
  <c r="A49" i="2"/>
  <c r="A50" i="2"/>
  <c r="A51" i="2"/>
  <c r="A52" i="2"/>
  <c r="A53" i="2"/>
  <c r="A54" i="2"/>
  <c r="A42" i="2"/>
  <c r="A30" i="2"/>
  <c r="A31" i="2"/>
  <c r="A32" i="2"/>
  <c r="A33" i="2"/>
  <c r="A34" i="2"/>
  <c r="A35" i="2"/>
  <c r="A36" i="2"/>
  <c r="A37" i="2"/>
  <c r="A38" i="2"/>
  <c r="A39" i="2"/>
  <c r="A40" i="2"/>
  <c r="A29" i="2"/>
  <c r="A17" i="2"/>
  <c r="A18" i="2"/>
  <c r="A19" i="2"/>
  <c r="A20" i="2"/>
  <c r="A21" i="2"/>
  <c r="A22" i="2"/>
  <c r="A23" i="2"/>
  <c r="A24" i="2"/>
  <c r="A25" i="2"/>
  <c r="A26" i="2"/>
  <c r="A27" i="2"/>
  <c r="A16" i="2"/>
  <c r="A7" i="2"/>
  <c r="A8" i="2"/>
  <c r="A9" i="2"/>
  <c r="A10" i="2"/>
  <c r="A11" i="2"/>
  <c r="A12" i="2"/>
  <c r="A13" i="2"/>
  <c r="A14" i="2"/>
  <c r="A6" i="2"/>
  <c r="A1" i="2"/>
  <c r="A2" i="2"/>
  <c r="A3" i="2"/>
  <c r="A4" i="2"/>
  <c r="F35" i="4"/>
  <c r="F36" i="4"/>
  <c r="F37" i="4"/>
  <c r="F34" i="4"/>
  <c r="F29" i="4"/>
  <c r="F30" i="4"/>
  <c r="F31" i="4"/>
  <c r="F28" i="4"/>
  <c r="C43" i="10"/>
  <c r="F43" i="10" s="1"/>
  <c r="F49" i="4"/>
  <c r="F48" i="4"/>
  <c r="F47" i="4"/>
  <c r="F46" i="4"/>
  <c r="H45" i="4"/>
  <c r="B78" i="4"/>
  <c r="F3" i="4"/>
  <c r="C5" i="10"/>
  <c r="D5" i="10" s="1"/>
  <c r="C50" i="10"/>
  <c r="F50" i="10" s="1"/>
  <c r="O24" i="4"/>
  <c r="O25" i="4"/>
  <c r="O26" i="4"/>
  <c r="O23" i="4"/>
  <c r="C2" i="10"/>
  <c r="C49" i="10"/>
  <c r="F49" i="10" s="1"/>
  <c r="C48" i="10"/>
  <c r="F48" i="10" s="1"/>
  <c r="C47" i="10"/>
  <c r="F47" i="10" s="1"/>
  <c r="C46" i="10"/>
  <c r="F46" i="10" s="1"/>
  <c r="C45" i="10"/>
  <c r="F45" i="10" s="1"/>
  <c r="C44" i="10"/>
  <c r="F44" i="10" s="1"/>
  <c r="C42" i="10"/>
  <c r="F42" i="10" s="1"/>
  <c r="C41" i="10"/>
  <c r="F41" i="10" s="1"/>
  <c r="C40" i="10"/>
  <c r="F40" i="10" s="1"/>
  <c r="C14" i="10"/>
  <c r="F14" i="10" s="1"/>
  <c r="C13" i="10"/>
  <c r="F13" i="10" s="1"/>
  <c r="C12" i="10"/>
  <c r="F12" i="10" s="1"/>
  <c r="C9" i="10"/>
  <c r="D9" i="10" s="1"/>
  <c r="C8" i="10"/>
  <c r="F8" i="10" s="1"/>
  <c r="C7" i="10"/>
  <c r="D7" i="10" s="1"/>
  <c r="B49" i="10"/>
  <c r="B48" i="10"/>
  <c r="B47" i="10"/>
  <c r="B46" i="10"/>
  <c r="B45" i="10"/>
  <c r="B44" i="10"/>
  <c r="B43" i="10"/>
  <c r="B42" i="10"/>
  <c r="B41" i="10"/>
  <c r="B40" i="10"/>
  <c r="B37" i="10"/>
  <c r="B38" i="10"/>
  <c r="B39" i="10"/>
  <c r="B36" i="10"/>
  <c r="B12" i="10"/>
  <c r="G11" i="10" s="1"/>
  <c r="B13" i="10"/>
  <c r="G12" i="10" s="1"/>
  <c r="B14" i="10"/>
  <c r="G13" i="10" s="1"/>
  <c r="B11" i="10"/>
  <c r="G10" i="10" s="1"/>
  <c r="B9" i="10"/>
  <c r="B8" i="10"/>
  <c r="B7" i="10"/>
  <c r="B6" i="10"/>
  <c r="D14" i="10"/>
  <c r="F9" i="10"/>
  <c r="N10" i="4"/>
  <c r="N9" i="4"/>
  <c r="F55" i="4"/>
  <c r="F54" i="4"/>
  <c r="F53" i="4"/>
  <c r="F43" i="4"/>
  <c r="F42" i="4"/>
  <c r="F41" i="4"/>
  <c r="F52" i="4"/>
  <c r="F40" i="4"/>
  <c r="N25" i="4"/>
  <c r="N26" i="4"/>
  <c r="N24" i="4"/>
  <c r="N23" i="4"/>
  <c r="C4" i="10"/>
  <c r="F4" i="10" s="1"/>
  <c r="B5" i="10"/>
  <c r="B4" i="10"/>
  <c r="F54" i="10"/>
  <c r="A11" i="10"/>
  <c r="A7" i="10"/>
  <c r="G14" i="10" l="1"/>
  <c r="D28" i="10" s="1"/>
  <c r="N27" i="4"/>
  <c r="H39" i="4" s="1"/>
  <c r="N12" i="4"/>
  <c r="E90" i="4" s="1"/>
  <c r="D8" i="10"/>
  <c r="H54" i="10"/>
  <c r="D11" i="10"/>
  <c r="O27" i="4"/>
  <c r="I54" i="10" s="1"/>
  <c r="F7" i="10"/>
  <c r="D4" i="10"/>
  <c r="D13" i="10"/>
  <c r="F90" i="4"/>
  <c r="H90" i="4"/>
  <c r="G90" i="4"/>
  <c r="B90" i="4"/>
  <c r="B10" i="4" s="1"/>
  <c r="A6" i="10" s="1"/>
  <c r="D6" i="10" s="1"/>
  <c r="H6" i="10"/>
  <c r="D21" i="10"/>
  <c r="D19" i="10"/>
  <c r="D49" i="10"/>
  <c r="D12" i="10"/>
  <c r="F5" i="10"/>
  <c r="D32" i="10" l="1"/>
  <c r="D46" i="10"/>
  <c r="D47" i="10"/>
  <c r="D41" i="10"/>
  <c r="J54" i="10"/>
  <c r="D44" i="10"/>
  <c r="D27" i="10"/>
  <c r="D23" i="10"/>
  <c r="D39" i="10"/>
  <c r="D29" i="10"/>
  <c r="D31" i="10"/>
  <c r="D48" i="10"/>
  <c r="D18" i="10"/>
  <c r="B2" i="10"/>
  <c r="D40" i="10"/>
  <c r="D37" i="10"/>
  <c r="D22" i="10"/>
  <c r="D45" i="10"/>
  <c r="D33" i="10"/>
  <c r="D42" i="10"/>
  <c r="D51" i="10"/>
  <c r="D34" i="10"/>
  <c r="D24" i="10"/>
  <c r="D43" i="10"/>
  <c r="D36" i="10"/>
  <c r="D16" i="10"/>
  <c r="D26" i="10"/>
  <c r="D17" i="10"/>
  <c r="D38" i="10"/>
  <c r="F52" i="10"/>
  <c r="D2" i="10" s="1"/>
  <c r="I3" i="4" s="1"/>
  <c r="H53" i="10"/>
  <c r="F53" i="10" s="1"/>
  <c r="F56" i="10" s="1"/>
  <c r="I90" i="4"/>
  <c r="D90" i="4"/>
  <c r="C90" i="4"/>
  <c r="D50" i="10"/>
  <c r="F55" i="10"/>
</calcChain>
</file>

<file path=xl/comments1.xml><?xml version="1.0" encoding="utf-8"?>
<comments xmlns="http://schemas.openxmlformats.org/spreadsheetml/2006/main">
  <authors>
    <author>Connors, Jared M</author>
  </authors>
  <commentList>
    <comment ref="I5" authorId="0" shapeId="0">
      <text>
        <r>
          <rPr>
            <b/>
            <sz val="9"/>
            <color indexed="81"/>
            <rFont val="Tahoma"/>
            <family val="2"/>
          </rPr>
          <t>Connors, Jared M:</t>
        </r>
        <r>
          <rPr>
            <sz val="9"/>
            <color indexed="81"/>
            <rFont val="Tahoma"/>
            <family val="2"/>
          </rPr>
          <t xml:space="preserve">
working in second, third and weblink</t>
        </r>
      </text>
    </comment>
  </commentList>
</comments>
</file>

<file path=xl/comments2.xml><?xml version="1.0" encoding="utf-8"?>
<comments xmlns="http://schemas.openxmlformats.org/spreadsheetml/2006/main">
  <authors>
    <author>Connors, Jared M</author>
  </authors>
  <commentList>
    <comment ref="D9" authorId="0" shapeId="0">
      <text>
        <r>
          <rPr>
            <sz val="8"/>
            <color indexed="81"/>
            <rFont val="Tahoma"/>
            <family val="2"/>
          </rPr>
          <t>From the dropdown choose a response of
A. This declaration represents all our company products
B. This declaration represents all our company products from Division(s) [Specify in "Description of scope"]
C. This declaration represents specific product category(ies) [Specify in "Description of scope"]
D. This declaration represents a specific list of products [Identify products on 'Product List' tab]
从下拉列表中选择回答：
A.这份申报代表我们公司所有的产品
B.这份申报代表我们公司某个分部的所有产品[在"范围描述”栏内注明]
C.这份申报代表特定的产品类别[在"范围描述”栏内注明]
D.这份申报代表特定清单上的产品[在“产品清单”工作表内标签识别产品]
ドロップダウンメニューから回答を選択してください。
A.この申告は当社の全製品にあてはまる
B.この申告は当社の特定部門の全製品にあてはまる［特定部門名を「範囲の説明」に明記］
C.この申告は特定の製品カテゴリーにあてはまる［製品カテゴリーを「範囲の説明」に明記］
D.この申告は製品の特定の品目にあてはまる［「製品リスト」タブに製品を指定］
드랍다운 메뉴에서 하나를 선택하시오.
A. 이 선언문은 회사 모든 제품에 적용됩니다
B. 이 선언문은 명시한 계열회사나 부서의 모든 제품에 적용됩니다 ["선언범위 설명"란에 기입]
C. 이 선언문은 명시한 제품 범주에만 적용됩니다 ["선언범위 설명"란에 기입]
D. 이 선언문은  명시한 제품 목록에만 적용됩니다 ["제품 목록"란에 기입]
Merci de sélectionner la réponse dans la liste déroulante:
A. Cette déclaration représente tous les produits de mon entreprise
B. Cette déclaration représente tous les produits des Divisions de l'entreprise [Spécifier dans "Description du périmètre"]
C. Cette déclaration représente une (des) catégorie(s) de produits spécifiques [Spécifier dans "Description du périmètre"]
D. Cette déclaration représente une liste de produits spécifiques [Identifier les produits dans la feuille 'Liste de produits']
A partir da lista escolha a resposta:
A. Esta declaração representa todos os produtos da organização.
B. Esta declaração representa todos os produtos de nossa organização referentes a Divisão (Especificar em "Descrição do Escopo")
C. Esta Declaração representa uma lista específica de produtos (identificar os produtos na "Lista de Produtos"
D. Esta declaração representa uma lista específica de produtos [Identifique produtos na guia 'lista de produtos']
Bitte wählen Sie eine der Antworten aus dem Drop-Down Menü:
A. Diese Erklärung gilt für alle Produkte unserer Firma
B. Diese Erklärung gilt für alle Produkte unserer Firma aus dem/den Unternehmensbereich(en) (Bitte eingeben in "Beschreibung des Erklärungsbereiches"
C. Diese Erklärung gilt für spezifische Produktkategorien (Bitte eingeben in "Beschreibung des Erklärungsbereiches")
D. Diese Erklärung gilt für eine spezifische Liste von Produkten (Bitte die Produkte im Reiter  "Product List" eingeben)</t>
        </r>
      </text>
    </comment>
    <comment ref="D16" authorId="0" shapeId="0">
      <text>
        <r>
          <rPr>
            <sz val="9"/>
            <color indexed="81"/>
            <rFont val="Tahoma"/>
            <family val="2"/>
          </rPr>
          <t xml:space="preserve">Enter a valid email address for company representative here
在这里输入一个公司授权代表的有效电邮地址。
会社代表者の有効な電子メールアドレスを入力してください
담당자 이메일 주소를 기입하시오.
Indiquer une adresse email valide pour le représentant légal de l'entreprise
Adicione o endereço de e-mail do representante da empresa aqui.
Geben sie hier die gültige Email Adresse vom Firmenvertreter ein
Capture una direccion de email valida del representante de la compañia aqui
</t>
        </r>
      </text>
    </comment>
    <comment ref="B18" authorId="0" shape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이 템플릿 문서 작성 완료 날짜는 DD-MMM-YYYY (예: 12-Jul-2012)로 표기하시오.
Merci d'inscrire la date a laquelle ce formulaire a été complété par votre entreprise
la date doit être indiquée au format international : JJ-MMM-AAAA
Por favor, registre a data neste formulário pela sua organização. A data deve ser apresentada em formato internacionalamente reconhecido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t>
        </r>
      </text>
    </comment>
    <comment ref="D22"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3"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4"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8"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9"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0"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1"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4"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5"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6"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7"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40"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1"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2"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3"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6"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7"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8"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9"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52"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3"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4"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5"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3" authorId="0" shapeId="0">
      <text>
        <r>
          <rPr>
            <sz val="12"/>
            <color indexed="81"/>
            <rFont val="Tahoma"/>
            <family val="2"/>
          </rPr>
          <t>From the dropdown choose a response of "Yes", "No" or "Yes included in standard contract language"
从下拉列表中选择“是” 或 “不是” 或 "是包含在标准合同文本"
ドロップダウンメニューから「はい」又は「いいえ」を選択してください
Yes = 예, No = 아니오, 네 표준 계약 언어에 포함되어
Merci de sélectionner "Oui", "Non", ou "Oui inclus dans la langue du contrat type" dans la liste déroulante
A partir da lista selecione a resposta: "Sim", "Não" ou "Sim incluídos na linguagem do contrato padrão"
Vom drop-down Menü wählen sie als Antwort "Ja", "Nein" oder "Ja in Mustervertrag Sprache enthalten"
De las opciones elija la respuesta "si" , "no" or "Sí incluyó en el lenguaje de contrato"</t>
        </r>
      </text>
    </comment>
    <comment ref="D65" authorId="0" shapeId="0">
      <text>
        <r>
          <rPr>
            <sz val="12"/>
            <color indexed="81"/>
            <rFont val="Tahoma"/>
            <family val="2"/>
          </rPr>
          <t>From the dropdown choose a response of "Yes", "No" or "Planned once lists become available"
从下拉列表中选择“是” 或 “不是”
ドロップダウンメニューから「はい」又は「いいえ」を選択してください
Yes = 예, No = 아니오, 목록이 나오는 일단 계획
Merci de sélectionner "Oui", "Non", "Prévues une fois les listes sont disponibles" dans la liste déroulante
A partir da lista selecione a resposta: "Sim", "Não" ou "Planejado uma vez listas tornam-se disponíveis"
Vom drop-down Menü wählen sie als Antwort "Ja", "Nein" oder "Geplant, sobald Listen zur Verfügung stehen"
De las opciones elija la respuesta "si" , "no" or "Planificación de una vez se disponga de las listas"</t>
        </r>
      </text>
    </comment>
    <comment ref="D6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3" authorId="0" shapeId="0">
      <text>
        <r>
          <rPr>
            <sz val="12"/>
            <color indexed="81"/>
            <rFont val="Tahoma"/>
            <family val="2"/>
          </rPr>
          <t>From the dropdown choose a response of "Yes (3rd party Audit)", "Yes(Documentation review only)", "Yes(Internal Audit)", "Yes(all methods apply)", or "No"
从下拉列表选择回答“是（第三方审核）”，“是（仅文件审查）”，“是（内部审核）”，“是（所有方法皆有）”，或“不是”
ドロップダウンメニューから、「はい（第三者機関監査）」、「はい（書類審査のみ）」、「はい（内部監査）」、「はい（すべての方法を適用）」、「いいえ」のいずれかを選択してください
Yes (3rd party Audit)=예(제 3자 검증), Yes(Documentation review only)=예(문서검토), Yes(Internal Audit)=예(내부 검증), Yes(all methods apply)=예(모든 방법 적용), No=아니오
Merci de choisir à partir du menu déroulant la réponse appropriée:
"Oui (Audit par tierce partie)", "Oui" (Revue des documents fournis uniquement)", "Oui (Audit interne)", "Oui (toutes les méthodes)", "Non"
No menu suspenso escolha uma resposta de "Sim (Auditoria parte 3)", "Yes (revisão da documentação só)", "Yes (Auditoria Interna)", "Yes (todos os métodos se aplicam)", ou "Não"
Vom drop-down Menü wählen sie eine Antwort "Ja (3rd Party Audit)", "Ja (Nur Überprüfung von Dokumenten)", "Ja (Interner Audit)", "Ja (Alle Methoden treffen zu)" oder "Nein"
Del menu elija una respuesta a "Yes ( Auditoria por terceros)", "Yes ( revision de decumentacion solamente)", "Yes ( auditoria interna)", "Yes ( todos los metodos aplican)", o "No".</t>
        </r>
      </text>
    </comment>
    <comment ref="D7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List>
</comments>
</file>

<file path=xl/comments3.xml><?xml version="1.0" encoding="utf-8"?>
<comments xmlns="http://schemas.openxmlformats.org/spreadsheetml/2006/main">
  <authors>
    <author>Connors, Jared M</author>
  </authors>
  <commentList>
    <comment ref="B4" authorId="0" shapeId="0">
      <text>
        <r>
          <rPr>
            <sz val="12"/>
            <color indexed="81"/>
            <rFont val="Tahoma"/>
            <family val="2"/>
          </rPr>
          <t xml:space="preserve">From the dropdown choose a metal, "Tantalum (Ta)", "Tin (Sn)", "Gold (Au)", "Tungsten (W)"
</t>
        </r>
        <r>
          <rPr>
            <sz val="9"/>
            <color indexed="81"/>
            <rFont val="Tahoma"/>
            <family val="2"/>
          </rPr>
          <t xml:space="preserve">
</t>
        </r>
        <r>
          <rPr>
            <sz val="12"/>
            <color indexed="81"/>
            <rFont val="Tahoma"/>
            <family val="2"/>
          </rPr>
          <t>ここから、タンタル Tantalum (Ta), 錫 Tin (Sn), 金 Gold (Au), タングステン Tungsten (W)を選択してください。
从下拉列表中选择金属“钽 （Ta）”, “锡(Sn)”，“金（Au）”，“钨(W)”
풀다운 메뉴를 이용하여  "Tantalum (Ta)", "Tin (Sn)", "Gold (Au)", "Tungsten (W)" 중 하나를 선택하시오.</t>
        </r>
      </text>
    </comment>
  </commentList>
</comments>
</file>

<file path=xl/sharedStrings.xml><?xml version="1.0" encoding="utf-8"?>
<sst xmlns="http://schemas.openxmlformats.org/spreadsheetml/2006/main" count="3795" uniqueCount="2355">
  <si>
    <t xml:space="preserve">11. Nom des mines si des scories de métaux ou des métaux recyclés sont sourcés, mentionner « scories » ou « recyclé » – Inscrire le nom de la mine ayant extrait le mètal listé dans la colonne B. Si le minerai fourni provient de « scories » ou du recyclage, mentionner lequel (scories ou recyclé) dans le champ prévu a cet effet. Voir les définitions de « scories » et « recyclé » </t>
  </si>
  <si>
    <t xml:space="preserve">12. Localisation (Pays) de(s) la mine(s) ou si provenant de scories ou du recyclage, indiquer "recyclé" ou "scories" - Dans le champ prévu à cet effet, indiquer le pays dans lequel la mine est située. Exemple : Australie. Si le minerai fourni provient de "scories" ou du "recyclage", mentionner lequel (scories ou recyclé) dans le champ prévu  cet effet. Voir les définitions de "scories" et "recyclé" </t>
  </si>
  <si>
    <t>13. Commentaires - Zone de texte pour inscrire tout commentaire relatif à la fonderie. Exemple: La fonderie a été achetée par l'entreprise YYY</t>
  </si>
  <si>
    <t xml:space="preserve">3. Nome da Fundição (*) - Complete com o nome de todas as fundições que sua empresa identificou e o fornecedor que a utiliza. Use uma linha separada para cada metal/fundição/e combinação de país que foi identificado. </t>
  </si>
  <si>
    <t>5. Endereço da Unidade da Fundição: País (*) -  Complete o endereço com nome da rua e número, ou seja, onde se localiza a fundição que processa o minério e que se encontra em sua cadeia de fornecedores. Deverá ser a localização física da unidade de fundição onde efetivamente os minérios são processados. Não inclua na lista a matriz da organização. Por exemplo: Rua Calgary, 12.</t>
  </si>
  <si>
    <t>6. Localização da Fundição: Cidade - Preencha a cidade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Cidade de Montreal.</t>
  </si>
  <si>
    <t>7. Localização da Fundição:Estado ou Província, quando aplicável - Preencha o estado / Província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Província de Quebec.</t>
  </si>
  <si>
    <t xml:space="preserve">8. Nome do Contato na Unidade de Fundição - Preencha o nome da pessoa de Contato da Unidade que você identificou. </t>
  </si>
  <si>
    <t>4. Smelter Facility Location: Land (*) - Dieses Feld wird automatisch aufgefüllt, wenn eine Hütte Namen in der Spalte 'c' ausgewählt wird. Wenn Sie die Option "Smelter Nicht aufgeführt in der Spalte 'c', verwenden Sie das Pull-Down-Menü, um die Lage auf dem Land der Hütte Anlage, die Mineralien, die Ihren Lieferkette gelangen verarbeitet auszuwählen. Dies ist der physikalische Ort der Schmelze, wo die Mineralien verarbeitet werden. Kein Liste der Hauptsitz des Unternehmens. Beispiel: Kanada</t>
  </si>
  <si>
    <t>4. Fundición Ubicación del establecimiento: País (*) - Este campo se rellenará automáticamente cuando un nombre de fundición se selecciona en la columna 'c'. Si ha seleccionado 'Fundición no mencionados "en la columna" c ", utilice el menú desplegable para seleccionar la ubicación del país de la instalación de la fundición que procesa los minerales que entran en su cadena de suministro. Esta es la ubicación física de la fundición donde los minerales se está procesando. No incluya a la sede de la empresa. Ejemplo: Canadá</t>
  </si>
  <si>
    <t>Identificação de fundição</t>
  </si>
  <si>
    <t>Padrão Nomes Fundição</t>
  </si>
  <si>
    <t>apelido conhecidos</t>
  </si>
  <si>
    <t>Lista de fundição de Referência (*)</t>
  </si>
  <si>
    <t>Padrão Nomes fundição (*)</t>
  </si>
  <si>
    <t>Para começar:
 Passo 1. Selecione metal na coluna B
 Passo 2. Selecione a partir suspensa na coluna C
 Etapa 3. Se a seleção está suspensa "Não Smelter Listado" colunas completas D &amp; E
 Passo 4. Insira todas as informações disponíveis em fundição de colunas F através de N</t>
  </si>
  <si>
    <t>2.製錬業者参照表(*) - ドロップダウン・メニュから選択。ここに、テンプレート発行日時点の既知の製錬業者名が列記されています。製錬業者が
ここにない場合、「製錬業者が表に含まれていない」を選択してください。</t>
  </si>
  <si>
    <t>4.製錬施設所在地：国(*)　-　C欄で製錬業者名を選択した場合には、この欄は自動的に埋められます。C欄で「製錬業者が表に含まれていない」を選択した場合、ドロップダウン・メニュの中から、御社のサプライチェーン内の鉱物を加工した製錬施設の所在する国を選択してください。これ
は、製錬業者が鉱物を加工する物理的な所在地のことで、企業の本社の所在地を選択しないでください。例：カナダ</t>
  </si>
  <si>
    <t>3.標準的製錬業者名(*)　-　C欄で「製錬業者が表に含まれていない」を選択した場合、製錬業者名を記入してください。C欄で製錬業者名を選択した場合には、この欄は自動的に埋められます。</t>
  </si>
  <si>
    <t>JX Nippon Mining and Metals,Nippon Mining,Saganoseki Smelter &amp; Refinery</t>
  </si>
  <si>
    <t>Saganoseki Smelter &amp; Refinery</t>
  </si>
  <si>
    <t>Ohio Precious Metals LLC.</t>
  </si>
  <si>
    <t>Exotech Inc.</t>
  </si>
  <si>
    <t>HC Starck,Starck,Stark</t>
  </si>
  <si>
    <t>H.C. Starck GmbH</t>
  </si>
  <si>
    <t>Mitsui Mining &amp; Smelting</t>
  </si>
  <si>
    <t>Solikamsk Metal Works</t>
  </si>
  <si>
    <t>Ulba Metallurgical Plant JSC</t>
  </si>
  <si>
    <t>Hi-Temp</t>
  </si>
  <si>
    <t>3USA016</t>
  </si>
  <si>
    <t>RFH</t>
  </si>
  <si>
    <t>3CHN017</t>
  </si>
  <si>
    <t>*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t>
  </si>
  <si>
    <t>Conflict Minerals are considered "recycled" that are reclaimed end-user or post-consumer products, but not considered "recycled" are minerals that are partially processed, or a byproduct from another ore. For full definition see SEC Rules (http://www.sec.gov/rules/final/2012/34-67716.pdf).</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</si>
  <si>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</si>
  <si>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</si>
  <si>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</si>
  <si>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5.  Please identify the authorized management representative responsible for the accuracy of the data in this template.</t>
  </si>
  <si>
    <t>11. Nombre de la Mina(s) or si el origen  es reciclado  o de desecho, diga “reciclado” o “desecho”    -   Provea el nombre de la mina que extrajo el metal anotado en la columna  B.  si el metal fue proveido de fuentes del “reciclado” o “desecho", note cual (desecho  o reciclado) fue proveido. Vea definiciones de “reciclado” y  “desecho”</t>
  </si>
  <si>
    <t>Umicore Brasil Ltda</t>
  </si>
  <si>
    <t>Umicore SA Business Unit Precious Metals Refining</t>
  </si>
  <si>
    <t>Valcambi SA</t>
  </si>
  <si>
    <t>VALCAMBI,Valcambi SUISSE</t>
  </si>
  <si>
    <t>Xstrata Canada Corporation</t>
  </si>
  <si>
    <t>Xstrata,Xstrata Corporation,Canadian Copper Refinery</t>
  </si>
  <si>
    <t>Zhongjin Gold Corporation Limited</t>
  </si>
  <si>
    <t>Zijin Mining</t>
  </si>
  <si>
    <t>OJSC Kolyma Refinery</t>
  </si>
  <si>
    <t>PX Précinox SA</t>
  </si>
  <si>
    <t>PX Precinox</t>
  </si>
  <si>
    <t>Istanbul Gold Refinery</t>
  </si>
  <si>
    <t>Nadir Metal Rafineri San. Ve Tic. A.Ş.</t>
  </si>
  <si>
    <t>ISO Codes</t>
  </si>
  <si>
    <t>Smelter #</t>
  </si>
  <si>
    <t>Metal #s</t>
  </si>
  <si>
    <t>1DEU001</t>
  </si>
  <si>
    <t>1UZB002</t>
  </si>
  <si>
    <t>1BRA003</t>
  </si>
  <si>
    <t>1CHE004</t>
  </si>
  <si>
    <t>1JPN005</t>
  </si>
  <si>
    <t>1TUR006</t>
  </si>
  <si>
    <t>1DEU007</t>
  </si>
  <si>
    <t>1PHL008</t>
  </si>
  <si>
    <t>1SWE009</t>
  </si>
  <si>
    <t>1MEX010</t>
  </si>
  <si>
    <t>1CHE011</t>
  </si>
  <si>
    <t>1KOR012</t>
  </si>
  <si>
    <t>1ITA013</t>
  </si>
  <si>
    <t>1CHL014</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</si>
  <si>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</si>
  <si>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</si>
  <si>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</si>
  <si>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</si>
  <si>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</si>
  <si>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</si>
  <si>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</si>
  <si>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</si>
  <si>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</si>
  <si>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</si>
  <si>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</si>
  <si>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</si>
  <si>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</si>
  <si>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</si>
  <si>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</si>
  <si>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</si>
  <si>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</si>
  <si>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</si>
  <si>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</si>
  <si>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</si>
  <si>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</si>
  <si>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</si>
  <si>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</si>
  <si>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</si>
  <si>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</si>
  <si>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</si>
  <si>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</si>
  <si>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</si>
  <si>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</si>
  <si>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</si>
  <si>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</si>
  <si>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</si>
  <si>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</si>
  <si>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</si>
  <si>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</si>
  <si>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</si>
  <si>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</si>
  <si>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</si>
  <si>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</si>
  <si>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</si>
  <si>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</si>
  <si>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</si>
  <si>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</si>
  <si>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</si>
  <si>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</si>
  <si>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</si>
  <si>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</si>
  <si>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</si>
  <si>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</si>
  <si>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</si>
  <si>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</si>
  <si>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</si>
  <si>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</si>
  <si>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</si>
  <si>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</si>
  <si>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</si>
  <si>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</si>
  <si>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2IDN002</t>
  </si>
  <si>
    <t>2IDN003</t>
  </si>
  <si>
    <t>2IDN004</t>
  </si>
  <si>
    <t>2IDN005</t>
  </si>
  <si>
    <t>2IDN006</t>
  </si>
  <si>
    <t>2IDN007</t>
  </si>
  <si>
    <t>2IDN008</t>
  </si>
  <si>
    <t>2IDN009</t>
  </si>
  <si>
    <t>2BOL010</t>
  </si>
  <si>
    <t>2CHN011</t>
  </si>
  <si>
    <t>2CHN012</t>
  </si>
  <si>
    <t>2CHN013</t>
  </si>
  <si>
    <t>2CHN014</t>
  </si>
  <si>
    <t>2CHN015</t>
  </si>
  <si>
    <t>2MYS016</t>
  </si>
  <si>
    <t>2BEL017</t>
  </si>
  <si>
    <t>2BRA018</t>
  </si>
  <si>
    <t>2PER019</t>
  </si>
  <si>
    <t>2JPN020</t>
  </si>
  <si>
    <t>2RUS021</t>
  </si>
  <si>
    <t>2BOL022</t>
  </si>
  <si>
    <t>2IDN023</t>
  </si>
  <si>
    <t>2IDN024</t>
  </si>
  <si>
    <t>2IDN025</t>
  </si>
  <si>
    <t>2IDN026</t>
  </si>
  <si>
    <t>2IDN027</t>
  </si>
  <si>
    <t>2IDN028</t>
  </si>
  <si>
    <t>2IDN029</t>
  </si>
  <si>
    <t>2IDN030</t>
  </si>
  <si>
    <t>2IDN031</t>
  </si>
  <si>
    <t>2IDN032</t>
  </si>
  <si>
    <t>2IDN033</t>
  </si>
  <si>
    <t>2IDN034</t>
  </si>
  <si>
    <t>2IDN035</t>
  </si>
  <si>
    <t>2IDN036</t>
  </si>
  <si>
    <t>2IDN037</t>
  </si>
  <si>
    <t>2IDN038</t>
  </si>
  <si>
    <t>2IDN039</t>
  </si>
  <si>
    <t>2IDN040</t>
  </si>
  <si>
    <t>2IDN041</t>
  </si>
  <si>
    <t>2IDN042</t>
  </si>
  <si>
    <t>2IDN043</t>
  </si>
  <si>
    <t>2IDN044</t>
  </si>
  <si>
    <t>2IDN045</t>
  </si>
  <si>
    <t>2THA046</t>
  </si>
  <si>
    <t>2CHN047</t>
  </si>
  <si>
    <t>2CHN048</t>
  </si>
  <si>
    <t>3CHN001</t>
  </si>
  <si>
    <t>3USA002</t>
  </si>
  <si>
    <t>3CHN003</t>
  </si>
  <si>
    <t>3USA004</t>
  </si>
  <si>
    <t>3USA005</t>
  </si>
  <si>
    <t>3DEU006</t>
  </si>
  <si>
    <t>3CHN007</t>
  </si>
  <si>
    <t>3JPN008</t>
  </si>
  <si>
    <t>3CHN009</t>
  </si>
  <si>
    <t>3USA010</t>
  </si>
  <si>
    <t>3AUT011</t>
  </si>
  <si>
    <t>3RUS012</t>
  </si>
  <si>
    <t>3ZAF013</t>
  </si>
  <si>
    <t>3KAZ014</t>
  </si>
  <si>
    <t>3CHN015</t>
  </si>
  <si>
    <t>Metalor Switzerland</t>
  </si>
  <si>
    <t>Metalor Hong Kong,Metalor HK</t>
  </si>
  <si>
    <t>Metalor USA</t>
  </si>
  <si>
    <t>Umicore Hoboken,Umicore Beligium,Umicore SA,Umicore Precious Metals Refining</t>
  </si>
  <si>
    <t>Campos obligatorios estan señalados con asterisco (*), la informacion colectada en este templete debe ser actualizada anualmente, cualquier cambio en el ciclo anual debe ser proveida a los clientes.</t>
  </si>
  <si>
    <t>C: Requieres que tus proveedores directos sean libres de conflicto RDC? (*)</t>
  </si>
  <si>
    <t>D. Requieres a tus proveedores directos que se provean de fundidores validados cumpliendo con el protocolo CFS protocol usando la lista de fundidores que cumplen CFS Comp? (*)</t>
  </si>
  <si>
    <t>Schmelzhütte Identifizierung</t>
  </si>
  <si>
    <t>Standard Schmelzhütten Namen</t>
  </si>
  <si>
    <t>Bekannt als</t>
  </si>
  <si>
    <t>冶炼厂鉴别</t>
  </si>
  <si>
    <t>冶炼厂标准名称</t>
  </si>
  <si>
    <t>所知的别名</t>
  </si>
  <si>
    <t>冶炼厂标准名称（*）</t>
  </si>
  <si>
    <t>开始：
第一步骤：在B栏位选择金属
第二步骤：在C栏位的下拉菜单中选择
第三步骤：如果在下拉菜单中选择“没被列出的冶炼厂”，那么必须完成D和E栏位
第四步骤：在F至N栏位内输入冶炼厂的所有资料。</t>
  </si>
  <si>
    <t>Identification des fonderies</t>
  </si>
  <si>
    <t>alias connus</t>
  </si>
  <si>
    <t>Noms des fonderies standard</t>
  </si>
  <si>
    <t>Noms des fonderies standard (*)</t>
  </si>
  <si>
    <r>
      <t>Pour commencer:
Etape 1: S</t>
    </r>
    <r>
      <rPr>
        <sz val="10"/>
        <color indexed="8"/>
        <rFont val="Calibri"/>
        <family val="2"/>
      </rPr>
      <t>électionner Métal dans la colonne B
Etape 2: Sélectionner à partir du menu déroulant de la colonne C
Etape 3: Si la sélection est "Fonderie non listée", compléter les colonnes D &amp; E
Etape 4: Inscrire toutes les informations disponibles à propos de la fonderie dans les colonnes F à N</t>
    </r>
  </si>
  <si>
    <t>Informations à propos de l’entreprise</t>
  </si>
  <si>
    <t>Dans ce formulaire, le Périmètre décrit l'applicabilité des informations fournies par l'entreprise le remplissant. Le périmètre peut intégrer l'intégralité des produits et/ou services de l'entreprise ou, à la discrétion de l'entreprise, le formulaire peut être utilisé pour une Division, Catégorie de Produits, ou Produit(s) spécifiques.</t>
  </si>
  <si>
    <t>Instructions pour compléter la partie Informations à propos de l’entreprise (lignes 7 -17)
Merci de répondre en anglais uniquement</t>
  </si>
  <si>
    <t>Alpha Metals Taiwan</t>
  </si>
  <si>
    <t>Empresa Metallurgica Vinto,Empressa Nacional de Fundiciones (ENAF),Complejo Metalurico Vinto S.A.</t>
  </si>
  <si>
    <t>Gejiu Zili Metallurgy Co.</t>
  </si>
  <si>
    <t>Guangxi Zhongshan Gold Bell Smelting Corp.Ltd</t>
  </si>
  <si>
    <t>Taboca,Paranapanema</t>
  </si>
  <si>
    <t xml:space="preserve">Funsur,Minsur Mines,Funsur Smelter,Minsur S.A. Tin Metal </t>
  </si>
  <si>
    <t>Thailand Smelting and Refining Co. Ltd.</t>
  </si>
  <si>
    <t>Yunnan Chengfeng Non-Ferrous Metals Co Ltd</t>
  </si>
  <si>
    <t>Duoluoshan Sapphire Rare Metal Co. Ltd</t>
  </si>
  <si>
    <t>Ningxia,OTIC</t>
  </si>
  <si>
    <t>Ganzhou Huaxing Tungsten Products Co. LTD.</t>
  </si>
  <si>
    <t>GTP,Global Tungsten</t>
  </si>
  <si>
    <t>AKK,Asahi Pretec Corp koube koujyo</t>
  </si>
  <si>
    <r>
      <t>1.</t>
    </r>
    <r>
      <rPr>
        <sz val="10"/>
        <rFont val="Verdana"/>
        <family val="2"/>
      </rPr>
      <t>     Merci d’inscrire ici le nom légal de votre entreprise. Merci de ne pas utiliser abréviations</t>
    </r>
  </si>
  <si>
    <t>Dowa Kogyo k.k,Dowa Metals &amp; Mining Co. Ltd,Dowa Metanix Co.Ltd,Dowa Metalmine co.ltd,Dowa Metals &amp; Mining. Kosak Seiren,Dowa Holdings Co. Ltd</t>
  </si>
  <si>
    <t>Johnson Matthey USA,JM USA,Johnson Matthey(Salt lake City)</t>
  </si>
  <si>
    <t>Instrucciones para completar las preguntas sobre informacion de la compañia ( renglones 7-17). Proveer comentarios solamente en INGLES
Provide comments in ENGLISH only</t>
  </si>
  <si>
    <t>Tantal (Ta) (*)</t>
  </si>
  <si>
    <t>Zinn (Sn) (*)</t>
  </si>
  <si>
    <t>Wolfram (W) (*)</t>
  </si>
  <si>
    <t>A. 您是否已有一个包含刚果民主共和国无冲突金属采购的政策？ (*)</t>
  </si>
  <si>
    <t>B. 这个政策是否已在贵公司网站上公开？ (*)</t>
  </si>
  <si>
    <t>C. 您是否有要求您的直接供应商是符合刚果民主共和国无冲突金属的？ (*)</t>
  </si>
  <si>
    <t>D. 您是否有要求您的直接供应商向已被验证为符合刚果民主共和国无冲突金属并且已列在“EICC的- GeSI无冲突冶炼厂“（CFS）清单中的的冶炼厂进行采购？ (*)</t>
  </si>
  <si>
    <t>E. 您是否有在采购方面实施矿产冲突职责调查的措施？ (*)</t>
  </si>
  <si>
    <t>F. 您是否有要求您的供应商填写这份矿产冲突报告模板? (*)</t>
  </si>
  <si>
    <t>G. 您是否有要求您的供应商提供冶炼厂的名字？ (*)</t>
  </si>
  <si>
    <t>H. 您是否有验证您的供应商所提交的尽职调查资料？ (*)</t>
  </si>
  <si>
    <t>I. 您的验证流程是否有包括纠正措施管理？ (*)</t>
  </si>
  <si>
    <t>J. 您是否受制于美国证券交易委员会所公布的规定？ (*)</t>
  </si>
  <si>
    <t>D.一次サプライヤーに対し、CFS適合製錬業者リストを使用してCFS規程への準拠が検証された製錬業者から調達することを求めていますか？ (*)</t>
  </si>
  <si>
    <t>D. Sua organização requer de seus fornecedores diretos que forneçam produtos de fundições lvalidadas e em conformidade com protocolo da Lista de Fundições Livres de Conflitos Lista FLC. (*)</t>
  </si>
  <si>
    <t>製錬業者識別番号</t>
  </si>
  <si>
    <t>標準的製錬業者名</t>
  </si>
  <si>
    <t>既知の別名</t>
  </si>
  <si>
    <t>標準的製錬業者名（*）</t>
  </si>
  <si>
    <t>記入のしかた:
ステップ1. B欄で金属を選択
ステップ2. C欄でドロップダウン・メニュから製錬業者名を選択
ステップ3. ドロップダウンで「製錬業者が表に含まれていない」を選択した場合、D欄とE欄に記入
ステップ4. F～N欄に入手可能な製錬業者情報を記入</t>
  </si>
  <si>
    <t>タングステン（W）製錬業者は、W鉱石（鉄マンガン重石及び灰重石）、W精鉱、W含有二次材料を、パラタングステン酸アンモニウム（APT）やメタタングステン酸アンモニウム（AMT）、フェロタングステン、酸化タングステン等のタングステン含有中間生成物に転換する企業と定義されている。APT生産能力を有するかどうかが、タングステン製錬業者の典型的な見分け方である。</t>
  </si>
  <si>
    <t>2IDN049</t>
  </si>
  <si>
    <t>Allgemeine Gold</t>
  </si>
  <si>
    <t>Allgemeine</t>
  </si>
  <si>
    <t>AKK</t>
  </si>
  <si>
    <t>Asahi Pretec Corp koube koujyo</t>
  </si>
  <si>
    <t>Norddeutsche Affinererie AG</t>
  </si>
  <si>
    <t>Dowa Kogyo k.k</t>
  </si>
  <si>
    <t>Dowa Metals &amp; Mining Co. Ltd</t>
  </si>
  <si>
    <t>Dowa Metanix Co.Ltd</t>
  </si>
  <si>
    <t>Dowa Metalmine co.ltd</t>
  </si>
  <si>
    <t>Dowa Metals &amp; Mining. Kosak Seiren</t>
  </si>
  <si>
    <t>Dowa Holdings Co. Ltd</t>
  </si>
  <si>
    <t>Heraeus Germany</t>
  </si>
  <si>
    <t>Heraeus Hanau</t>
  </si>
  <si>
    <t>Heraeus Materials Technology GMBH&amp;CO.KG</t>
  </si>
  <si>
    <t>W.C. Heraeus GmbH</t>
  </si>
  <si>
    <t>Heraeus Hong Kong</t>
  </si>
  <si>
    <t>Heraeus limited</t>
  </si>
  <si>
    <t>Heraeus Technology Center</t>
  </si>
  <si>
    <t>Johnson Matthey Canada</t>
  </si>
  <si>
    <t>JM Canada</t>
  </si>
  <si>
    <t>Johnson Matthey USA</t>
  </si>
  <si>
    <t>JM USA</t>
  </si>
  <si>
    <t>Johnson Matthey(Salt lake City)</t>
  </si>
  <si>
    <t>JX Nippon Mining and Metals</t>
  </si>
  <si>
    <t>Nippon Mining</t>
  </si>
  <si>
    <t>Metalor HK</t>
  </si>
  <si>
    <t>NMMC</t>
  </si>
  <si>
    <t>The Perth Mint</t>
  </si>
  <si>
    <t>Western Australian Mint</t>
  </si>
  <si>
    <t>Rand Refinery</t>
  </si>
  <si>
    <t>Shandong Gold Mining (Laizhou)</t>
  </si>
  <si>
    <t>China's Shangdong Gold Mining Co., Ltd</t>
  </si>
  <si>
    <t>SMM</t>
  </si>
  <si>
    <t>TANAKA TOKYO MELTERS</t>
  </si>
  <si>
    <t>Tanaka Denshi Kogyo</t>
  </si>
  <si>
    <t>TANAKA DENSHI KOGYO K.K</t>
  </si>
  <si>
    <t>TANAKA ELECTRONICS (HANGZHOU)CO.LTD</t>
  </si>
  <si>
    <t>TANAKA ELECTRONICS SINGAPORE PTE LTD</t>
  </si>
  <si>
    <t>Tanaka Holdings Co.Ltd.</t>
  </si>
  <si>
    <t>Tanaka Kikinnzoku Kogyo K.K.</t>
  </si>
  <si>
    <t>Tanaka Kikinzoku Group</t>
  </si>
  <si>
    <t>Tanaka Kikinzoku Hanbai K.K.</t>
  </si>
  <si>
    <t>Tanaka Kikinzoku Kogyo K.K. Japan.</t>
  </si>
  <si>
    <t>Tanaka Kikinzoku Kogyo k.k. syonan koujyo</t>
  </si>
  <si>
    <t>Tanaka Kinzoku international Co.Ltd Taipei branch</t>
  </si>
  <si>
    <t>Umicore Hoboken</t>
  </si>
  <si>
    <t>Umicore Beligium</t>
  </si>
  <si>
    <t>Umicore Precious Metals Refining</t>
  </si>
  <si>
    <t>Valcambi SUISSE</t>
  </si>
  <si>
    <t>Xstrata Corporation</t>
  </si>
  <si>
    <t>Canadian Copper Refinery</t>
  </si>
  <si>
    <t>CCR</t>
  </si>
  <si>
    <t>Horne Smelter</t>
  </si>
  <si>
    <t>Alpha Metals</t>
  </si>
  <si>
    <t>Empresa Metallurgica Vinto</t>
  </si>
  <si>
    <t>Empressa Nacional de Fundiciones (ENAF)</t>
  </si>
  <si>
    <t>Complejo Metalurico Vinto S.A.</t>
  </si>
  <si>
    <t>MSC</t>
  </si>
  <si>
    <t>Malaysia Smelting Corporation Berhad</t>
  </si>
  <si>
    <t>Taboca</t>
  </si>
  <si>
    <t>Paranapanema</t>
  </si>
  <si>
    <t>Funsur</t>
  </si>
  <si>
    <t>Minsur Mines</t>
  </si>
  <si>
    <t>Funsur Smelter</t>
  </si>
  <si>
    <t xml:space="preserve">Minsur S.A. Tin Metal </t>
  </si>
  <si>
    <t>Chengfeng Metals Co Pte Ltd</t>
  </si>
  <si>
    <t>YTCL</t>
  </si>
  <si>
    <t>Yuntinic Resources Inc.</t>
  </si>
  <si>
    <t>Cabot</t>
  </si>
  <si>
    <t>Cabot Corporation</t>
  </si>
  <si>
    <t>Cabot Supermetals</t>
  </si>
  <si>
    <t>Ningxia</t>
  </si>
  <si>
    <t>OTIC</t>
  </si>
  <si>
    <t>Plansee Group</t>
  </si>
  <si>
    <t>Plansee Holding AG</t>
  </si>
  <si>
    <t>Zhuzhou</t>
  </si>
  <si>
    <t>Zhuzhou Cemented Carbide Works Import and Export Co.</t>
  </si>
  <si>
    <t>GTP</t>
  </si>
  <si>
    <t>Global Tungsten</t>
  </si>
  <si>
    <t>证券交易委员会  (www.sec.gov)</t>
  </si>
  <si>
    <t>Revision 2 August 29th 2012</t>
  </si>
  <si>
    <t>Aug 29th, 2012</t>
  </si>
  <si>
    <t>분쟁광물 (Conflict Mirenals)이 최종 사용자 또는 소비 후의 제품으로부터 회수되었을 경우 "재활용"으로 간주하지만, 부분적으로 처리된 광물이거나 다른 광석의 부산물일 경우에는 "재활용" 대상으로 고려되지 않음.  보다 자세한 정의:  SEC 법안 (http://sec.gov/rules/final/2012/34-67716.pdf )</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</si>
  <si>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</si>
  <si>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This template allows for smelter identification using the Smelter Reference List. Columns B,C,D and E must be completed in order from left to right to utilize the Smelter Reference List feature.
Use a separate line for each metal/smelter/country combination</t>
  </si>
  <si>
    <t>此模板允许冶炼厂鉴定使用冶炼厂参考列表。列B，C，D和E必须完成的顺序由左到右，利用冶炼厂的参考文献列表“功能。使用一个单独的行中的每个金属/冶炼/国家组合</t>
  </si>
  <si>
    <t>このテンプレートは、製錬リファレンスリストを使用して製錬所に識別できます。列B、C、DおよびEは、製錬所のリファレンスリスト機能を利用するには、左から右への順序で完了する必要があります。
各金属/精錬/国の組み合せごとに、別々のラインを使用します。</t>
  </si>
  <si>
    <t>Ce modèle permet d'identifier fonderie en utilisant la liste de référence de fonderie. Les colonnes B, C, D et E doivent être remplis dans l'ordre de gauche à droite pour utiliser la fonction de liste de fonderie de référence.
 Utilisez une ligne distincte pour chaque combinaison métal / fonderie / pays</t>
  </si>
  <si>
    <t>Este modelo permite a identificação de fundição usando a Lista de Referência Redução. As colunas B, C, D e E deve ser concluída em ordem da esquerda para a direita para utilizar o recurso de fundição de lista de referência.  Use uma linha separada para cada combinação de metal de fundição / / país</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</si>
  <si>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</si>
  <si>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Esta plantilla permite la identificación fundición usando la Lista de Referencia de la Fundición. Columnas B, C, D y E se debe completar en orden de izquierda a derecha para utilizar la función Lista de Referencia de la Fundición.  Use una línea separada para cada combinación metal / fundición / país</t>
  </si>
  <si>
    <t>*2010年に、コンゴ民主共和国（DRC）又は隣接国原産の「紛争鉱物」に関する米国金融規制改革及び消費者保護法が可決されました。米国証券取引委員会は、米国の株式公開企業を対象とした、紛争鉱物調達先に関する開示規則を発行しました
（http://www.sec.gov/rules/final/2012/34-67716.pdfの規則を参照してください）。この規則は、サプライヤーに方針、デューデリジェンスの枠
組み、及び管理システムを定めるよう指導する、「紛争地域及び紛争リスクの高い地域から産出される鉱物の責任あるサプライチェーンのためのOECDデューデリジェンス・ガイダンス（OECD Due Diligence Guidance for Responsible Supply Chains of Minerals from Conflict-Affected and High-Risk Areas）」（http://www.oecd.org/dataoecd/62/30/46740847.pdf）を参照しています。
**　コンフリクトフリー製錬業者（CFS）プログラム（www.conflictfreesmelter.org/）及びその他の情報（www.eicc.info/extractives.htm）を参照してください。</t>
  </si>
  <si>
    <t>5. 冶炼工厂地址：街道-  输入使用在供应链内的冶炼工厂所在街道。这是指冶炼厂真正进行提炼金属的地方。请不要填写公司总部的地址。例如：12 Calgary street</t>
  </si>
  <si>
    <t>6. 冶炼工厂地址：城市-  输入使用在供应链内的冶炼工厂所在的城市名。这是指冶炼厂真正进行提炼金属的地方。请不要填写公司总部的地址。例如：Montreal</t>
  </si>
  <si>
    <t xml:space="preserve">7. 冶炼工厂地址：州/省，如适用-  输入使用在供应链内的冶炼工厂所在的州名或省名。这是指冶炼厂真正进行提炼金属的地方。请不要填写公司总部的地址。例如：Quebec </t>
  </si>
  <si>
    <t>8. 冶炼工厂联络人 - 输入直接和你接洽的冶炼工厂联络人的名字</t>
  </si>
  <si>
    <t>9. 冶炼工厂联络人电子邮件 - 输入问题7所填写的冶炼工厂联络人的电子邮件地址。 例如：John.Smith@SmelterXXX.com</t>
  </si>
  <si>
    <t>10. 建议后续的步骤，如适用 - 如果该冶炼厂名字不在EICC-GeSI CFS 清单里， 请提供您将会对该冶炼厂采取的行动。 例如：要求冶炼厂参与CFS评估方案，将冶炼厂从首选供应商名单中删除，等等。</t>
  </si>
  <si>
    <t>11.矿场名称或如果是源于回收或报废材料商，请标注“回收”或“报废”- 请填写开采B栏所注明的金属的矿场名称。如果该金属源于”回收“或“报废“材料商，请在栏内注明（报废或回收）。请看释义里“回收“及“报废“的定义。</t>
  </si>
  <si>
    <t>12.矿场的位置（国家）或如果是源于回收或报废材料商，就写“回收” 或“报废“ - 请在栏位注明矿场位置的所属国家名字。例如：澳洲。如果该金属是源于“回收”或“报废”材料商，就在提供的栏位注明（回收或报废）。请看释义里“回收“及“报废“的定义。</t>
  </si>
  <si>
    <t>13.注释 -以自由的格式来输入任何有关冶炼厂的意见。例如：被YYY公司收购的冶炼厂</t>
  </si>
  <si>
    <t>5.  製錬施設所在地：番地－  御社のサプライチェーンに含まれる鉱物を加工している製錬所の所在する番地を記入してください。製錬業者が鉱物を加工している実際の所在地を記入し、その会社の本社の所在地を記載しないでください。
例：12 Calgary Street</t>
  </si>
  <si>
    <t>6.  製錬施設所在地：市－  御社のサプライチェーンに含まれる鉱物を加工している製錬所の所在する市を記入してください。製錬業者が鉱物を加工している実際の所在地を記入し、その会社の本社の所在地を記載しないでください。
例：Montreal</t>
  </si>
  <si>
    <t>7.  製錬施設所在地：州／県（該当する場合のみ回答）　－  御社のサプライチェーンに含まれる鉱物を加工している製錬所の所在する州又は県を記入してください。製錬業者が鉱物を加工している実際の所在地を記入し、その会社の本社の所在地を記載しないでください。
例：Quebec</t>
  </si>
  <si>
    <t>8.  製錬施設連絡先担当者氏名　御社及びサプライヤーが使用する製錬施設の連絡先担当者の氏名を記入してください。</t>
  </si>
  <si>
    <t xml:space="preserve">9.  製錬施設連絡先電子メール　上記製錬施設連絡先担当者のメールアドレスを記入してください。
例：John.Smith@SmelterXXX.com </t>
  </si>
  <si>
    <t>10.  次に取る対策（該当する場合のみ回答）　製錬所施設がEICC-GeSIのCFSリストに載っていない場合、製錬業者に対してとる行動をご説明ください。 例：製錬業者の施設がCFSプログラムによる監査を受けるよう要請する、推奨サプライヤーのリストから削除する等。</t>
  </si>
  <si>
    <t>* 2010年，美国多德 - 弗兰克法案通过了关于“冲突矿物”，原产于刚果民主共和国（DRC）或邻近国家。美国证券交易委员会公布的最终规则与冲突矿产的来源美国上市公司（见规则http://www.sec.gov/rules/final/2012/34-67716.pdf）的披露。规则参考了经济合作与发展组织尽职调查指引“负责任的供应链的矿物受冲突影响和高风险地区（http://www.oecd.org/dataoecd/62/30/46740847.pdf），指导供应商制定政策，尽职调查框架和管理系统。
*的信息，请参阅关于的无冲突冶炼厂（CFS）的计划（www.conflictfreesmelter.org/）和“其他的信息（www.eicc.info/ extractives.htm）。</t>
  </si>
  <si>
    <t xml:space="preserve">* 2010년 미국 연방법에서는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(http://www.oecd.org/dataoecd/62/30/46740847.pdf), 이 안내서는 협력사들이 분쟁지역광물질 정책, 실사 체계 및 경영시스템을 구축할 수 있도록 지원하고 있습니다.
** EICC와 GeSI의 CFS 프로그램은(www.conflictfreesmelter.org)에서, 기타 정보는 EICC 웹사이트인 (www.eicc.info/extractives.htm)에서 확인 가능합니다. </t>
  </si>
  <si>
    <t>* En 2010, les Etats-Unis Dodd-Frank Act a été adoptée concernant les «minerais du conflit» originaires de la République démocratique du Congo (RDC) ou dans les pays voisins. La SEC a publié les règles définitives liées à la divulgation de la source des minéraux des conflits par des sociétés américaines cotées en bourse (voir les règles de http://www.sec.gov/rules/final/2012/34-67716.pdf). Les règles référence à l'orientation de l'OCDE devoir de diligence pour des chaînes d'approvisionnement responsables en minerais provenant de zones de conflit ou à haut risque, (http://www.oecd.org/dataoecd/62/30/46740847.pdf), qui guide les fournisseurs à établir des politiques, des cadres de diligence raisonnable, et des systèmes de gestion.
 ** Voir information sur la fonderie de conflit (CFS) programme (www.conflictfreesmelter.org/) et d'autres informations (www.eicc.info / extractives.htm).</t>
  </si>
  <si>
    <t>* Em 2010, os EUA Dodd-Frank Act foi aprovado sobre "minerais do conflito" originários da República Democrática do Congo (RDC) ou países vizinhos. A SEC publicou regras finais associados com a divulgação da fonte de minerais do conflito por empresas americanas de capital aberto (ver as regras em http://www.sec.gov/rules/final/2012/34-67716.pdf). As regras de referência da OCDE Orientação Due Diligence para Cadeias de Fornecimento Responsável de Minerais de áreas atingidas pelo conflito e de alto risco, (http://www.oecd.org/dataoecd/62/30/46740847.pdf), que orienta os fornecedores para estabelecer políticas, estruturas de due diligence, e sistemas de gestão.
 ** Veja informações sobre a fundição livre de conflitos (CFS) Programa (www.conflictfreesmelter.org/) e outras informações (www.eicc.info / extractives.htm).</t>
  </si>
  <si>
    <t>* Im Jahr 2010 wurde die US-Dodd-Frank Act verabschiedet zum Thema "Conflict Minerals", die aus der Demokratischen Republik Kongo (DRK) oder angrenzenden Ländern. Die SEC hat endgültige Regelung mit der Offenlegung der Quelle von Konflikt Mineralien nach US-börsennotierten Unternehmen (siehe die Regeln http://www.sec.gov/rules/final/2012/34-67716.pdf) verbunden veröffentlicht. Die Regeln verweisen die OECD Due Diligence Guidance for Responsible Supply Chains von Mineralien aus Konflikt-und High-Risk Areas, (http://www.oecd.org/dataoecd/62/30/46740847.pdf), die Lieferanten führt zu politische Strategien, Due Diligence-Frameworks und-Management-Systeme.
 ** Siehe Angaben auf dem Conflict-Free Smelter (CFS) Program (www.conflictfreesmelter.org/) und andere Informationen (www.eicc.info / extractives.htm).</t>
  </si>
  <si>
    <t xml:space="preserve">Der EICC-GeSI Konfliktmineralien-Fragebogen wurde von der Electronic Industry Citizenship Coalition (EICC) und der Global e-Sustainability Initiative (GeSI) als gemeinsames Werkzeug zur Erfassung von Beschaffungsinformationen bezüglich "Konfliktmineralien" erstellt. Firmen innerhalb der Elektronikindustrie und anderen Branchen können diesen Fragebogen als Element ihres Due Diligence Programms nutzen, um  eine verantwortliche Materialbeschaffung zu prüfen und die Einhaltung der neuen Gesetzgebung* zu unterstützen. Dieser Fragebogen stimmt mit den EICC und GeSI Aktivitäten bezüglich dem Conflict Free Smelter (CFS) Programm überein**. </t>
  </si>
  <si>
    <t>Anleitung zum Beantworten der Fragen zu Firmeninformationen (Reihen 7 - 17)
Bitte machen sie ihre Angaben nur in ENGLISCH</t>
  </si>
  <si>
    <t>Hinweis: Eingaben mit (*) sind Pflichtfelder</t>
  </si>
  <si>
    <t>1. Geben sie ihren rechtmäßigen Firmennamen ein. Abkürzungen sind nicht zulässig.</t>
  </si>
  <si>
    <t>2. Wählen sie den Erklärungsbereich für die Deklaration aus. Für die Erklärungsbereiche "Unternehmen" oder "Produktkategorie" machen Sie bitte zusätzliche Angaben in diesem Arbeitsblatt unter "Beschreibung des Erklärungsbereiches", die den Unternehmensbereich, die Fabrik oder die spezifischen Produkte/kategorien beschreiben. Für den Erklärungsbereich "Produkt" wird ein Link zum Reiter "Product List" angezeigt.</t>
  </si>
  <si>
    <t>3. Geben sie ihre eindeutige Firmenidentifikationsnummer (DUNS Nummer, Steuernummer, etc.) ein</t>
  </si>
  <si>
    <t>7. Bitte geben sie das Datum (TT-MM-JJJJ)ein, an dem der Fragebogen ausgefüllt wurde.</t>
  </si>
  <si>
    <t>8. Speichern sie den Fragebogen unter folgendem Dateinamen ab: Firmenname-Datum.xls (Datum als JJJJ-MM-TT)</t>
  </si>
  <si>
    <t>Anleitung zum Ausfüllen der sechs Fragen zur Sorgfaltsprüfung (Due Diligence) (Reihen 21 - 51)
Bitte machen Sie alle Angaben nur in ENGLISCH</t>
  </si>
  <si>
    <t>Diese sechs Fragen definieren den Gebrauch, den Ursprung und die Identifizierung der Beschaffung für jedes der Metalle. Antworten dieser Fragen sollen den Angaben entsprechen, die Sie in "Beschreibung des Erklärungsbereiches" bei der Firmeninformation gemacht haben.</t>
  </si>
  <si>
    <t>Für jeder der sechs erforderlichen Fragen geben sie für jedes Metall eine Antwort ein, in dem sie das Dropdown-Menü nutzen.</t>
  </si>
  <si>
    <t>1. Falls Ihre Anwort für eines der gelisteten Metalle "Nein" ist, sind alle verbleibenden Felder innerhalb dieser Sektion ausgegraut. Dies bedeutet, dass keine weiteren Antworten notwendig sind und ihre Erklärung für das jeweilige Metall vollständig ist.</t>
  </si>
  <si>
    <t>Falls Ihre Anwort für eines der gelisteten Metalle "Ja" ist, sind Anworten für die Fragen 2 bis 6 (angezeigt als gelb markierte Felder) notwendig.</t>
  </si>
  <si>
    <t>2. und 3. Wählen sie für jedes Metall eine Antwortoption bezüglich des Ursprungs.</t>
  </si>
  <si>
    <t xml:space="preserve">4. Wählen Sie für jedes Metall die Antwort, die dem tatsächlichen Status Ihrer Aktivitäten zur Erfassung der Lieferantendaten entspricht. </t>
  </si>
  <si>
    <t>5. Wählen Sie für jedes Metall die Antwort, die am ehesten dem tatsächlichen Status ihrer  Aktivitäten zur Identifizierung von Schmelzhütten entspricht.</t>
  </si>
  <si>
    <t>6. Wählen Sie für jedes Metall eine Antwort basierend auf einem Vergleich der Schmelzhütten in ihrer Lieferkette mit der veröffentlichten CFS Compliant Smelter List.</t>
  </si>
  <si>
    <t>Benutzen Sie  den  Link oberhalb des Kommentarbereichs zur Prüfung des Schmelzhütten-Status</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</si>
  <si>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</si>
  <si>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</si>
  <si>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</si>
  <si>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</si>
  <si>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C. Bitte mit "Ja" oder "Nein" antworten. Machen Sie Anmerkungen, falls notwendig. "DRC conflict-free" ist in dem US Dodd-Frank Wall Street Reform and Consumer Protection Act definiert als "Produkte die keine Konfliktmineralien enthalten, die direkt oder indirekt bewaffnete Gruppen in der Demokratischen Republik Kongo oder in angrenzenden Staaten finanzieren oder unterstützen"</t>
  </si>
  <si>
    <t>D. Bitte mit "Ja" oder "Nein" antworten.  Die "Konfliktfreie-Schmelzhütten (CFS)"- Liste beschreibt die Mineralienschmelzhütten und -raffinerien denen die Befolgung der CFS Programmrichtlinien bestätigt worden ist. Die aktuelle Liste und weitere Informationen über das Programm finden Sie auf www.conflictfreesmelter.org 
Machen sie Anmerkungen falls notwendig.</t>
  </si>
  <si>
    <t xml:space="preserve">E. Bitte mit "Ja" oder "Nein" antworten. Beispiele für Due Diligence Massnahmen sind: Kommunikation und Aufnahme der Erwartungen an die Lieferanten an eine Konfliktfreie Lieferkette in Verträgen (wo möglich), Identifizierung und Beurteilung von Risiken in der Lieferkette, Entwicklung und Einführung einer Strategie um auf die identifizierten Risiken zu reagieren, Verifizierung ob ihre direkten Lieferanten die "DRC Konfliktfrei" Grundsätze beachten, etc. Diese Beispiel zu Due Diligence Massnahmen sind in Einklang mit den international anerkannten OECD Richtlinien. </t>
  </si>
  <si>
    <t>F. Bitte mit "Ja" oder "Nein" antworten. Falls "Nein", beschreiben Sie bitte ihre Anforderung an ihren Lieferanten (z.B. Bestätigung oder Zertifikat, Zollerklärung, etc.)</t>
  </si>
  <si>
    <t>G. Bitte mit "Ja" oder "Nein" antworten. Machen Sie Anmerkungen wenn notwendig.</t>
  </si>
  <si>
    <t>H. Bitte wählen Sie die Antwort, die am besten zeigt, wie Ihre Firma die Angaben ihrer Lieferanten überprüft. Bitte beziehen Sie sich auf folgende Definitionen in ihrer Antwort:
"3rd part audits" sind Audits bei ihren Lieferanten durchgeführt von unabhängigen Parteien/Dienstleister.
"Nur Überprüfung von Dokumenten" bezieht sich auf die Überprüfung auf die vom Lieferanten vorgelegten Berichte und Dokumente von unabhängigen Parteien/Dienstleister und/oder von ihrem eigenen Personal.
"Interner Audit" sind Audits bei ihren Lieferanten durchgeführt von ihrem Firmenpersonal.</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</si>
  <si>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</si>
  <si>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</si>
  <si>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</si>
  <si>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</si>
  <si>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 xml:space="preserve">13. Cometários - campo sem formatação disponível para quaisquer comentários relacionados às fundições. Exemplo: a fundição foi adquirida pela empresa YYYY. </t>
  </si>
  <si>
    <t>5. Schmelzhütte Standort: Strassenadresse - Geben Sie die Strassenadresse der Schmelzhütteneinrichtung, die die Mineralien verarbeitet und in Ihre Lieferkette einspeisst ein. Dies ist der physische Ort ,an dem die Mineralien verarbeitet werden. Nennen sie die Standorte der Firmenzentralen der Firmen. Beispiel: 12 Calgary Street</t>
  </si>
  <si>
    <t>6. Schmelzhütte Standort: Stadt - Geben Sie den Stadtnamen der Schmelzhütteneinrichtung, die die Mineralien verarbeitet und in ihre Lieferkette einspeist, ein. Dies ist der physische Ort, an dem die Mineralien verarbeitet werden. Nennen Sie nicht die Hauptquartiere der Firmen. Beispiel: Montreal</t>
  </si>
  <si>
    <t>7. Schmelzhütte Standort: Bundesland/Provinz, falls anwendbar - Geben Sie das Bundesland/Provinz der Schmelzhütteneinrichtung, die die Mineralien verarbeitet und in Ihre Lieferkette einspeist, ein. Dies ist der physische Ort, an dem die Mineralien verarbeitet werden ein. Nennen sie nicht die Hauptquartiere der Firmen. Beispiel: Quebec</t>
  </si>
  <si>
    <t>8. Schmelzhütten-Ansprechpartner - Geben Sie den Namen des Ansprechpartners der Schmelzhütteneinrichtung, mit dem Sie zusammen arbeiten ein.</t>
  </si>
  <si>
    <t>9. Schmelzhütte-Ansprechpartner Email - Geben Sie die Email Adresse des Ansprechpartners der Schmelzhütteneinrichtung, den Sie im Schritt #7 angegeben haben, ein. Beispiel: John.Smith@Smelter XXX.com</t>
  </si>
  <si>
    <t>10. Vorgeschlagene nächste Schritte, sofern anwendbar - Nennen Sie die Aktionen, die sie mit ihren Schmelzhütten, die nicht in der EICC-GeSI CFS Liste aufgeführt sind, durchführen werden. Beispiel: Fordern Sie die Schmelzhütte auf, sich durch das CFS Programm validieren zu lassen, Streichung von ihrer Vorzugslieferantenliste, etc.</t>
  </si>
  <si>
    <t xml:space="preserve">11. Name des/der Bergwerke(s) oder falls Beschaffung durch Recycling oder aus Schrottmaterial, deklarieren Sie "recycled" oder "scrap" - Nennen Sie den Namen des Bergwerkes, welches das Metall (genannt in Spalte B) gewinnt. Falls das Metall durch Recycling oder aus Schrott kommt, deklarieren Sie entsprechend "scrap" oder "recycled". Siehe auch die Definitionen für "recycled" und "scrap" </t>
  </si>
  <si>
    <t xml:space="preserve">12. Ort (Land) des/der Bergwerke(s) oder falls Beschaffung durch Recycling oder aus Schrottmaterial, nennen sie "recycled" oder "scrap" - Im vorgegebenen Feld nennen Sie das Land, in dem sich das Bergwerk befindet. Beispiel: Australia. Falls Sie das Metall durch Recycling oder aus Schrott erhalten, deklarieren Sie das entsprechend (scrap oder recycled). Siehe auch die Definitionen für "recycled" und "scrap" </t>
  </si>
  <si>
    <t xml:space="preserve">13. Anmerkungen - geben Sie Ihre Anmerkungen zu den Schmelzhütten in das Textfeld ein. Beispiel: Smelter is being acquired by Company YYY </t>
  </si>
  <si>
    <t>5. Localizacion de la planta del fundidor: Calle –  Ponga la calle de la planta del fundidor que procesa lo que entra a tu cadena de suministro. Es una direccion fisica del fundidor donde los minerales se estan procesando. No ponga la casa matriz de la compañia. Ejemplo:12 Calgary Street</t>
  </si>
  <si>
    <t>6. Localizacion de la planta del fundidor: Ciudad – Ponga la ciudad donde se encuentra la planta del fundidor que procesa los minerales que entran a tu cadena de suministro. Esta es una localizacion fisica del fundidor donde los minerales estan siendo procesados. No liste la casa matriz de la compañia. Ejemplo: Montreal</t>
  </si>
  <si>
    <t xml:space="preserve">7. Localizacion de la planta del fundidor: Estado/Provincia, si aplica – Ponga el estado o provincia donde se encuentra la planta del fundidor que procesa los minerales que entran a tu cadena de suministro. Esta es una localizacion fisica del fundidor donde los minerales estan siendo procesados. No liste la casa matriz de la compañia. Ejemplo: Quebec.   </t>
  </si>
  <si>
    <t>8. Nombre del contacto de la planta del fundidor – Ponga el nombre de la persona contacto de la planta del fundidor con quien trabaja.</t>
  </si>
  <si>
    <t>9. Email del contacto de la planta del fundidor –  Ponga la direccion de email de la persona contacto de la planta del fundidor quien se ha indentificado en el paso #7.  Ejemplo: John.Smith@SmelterXXX.com</t>
  </si>
  <si>
    <t>Heraeus Hong Kong,Heraeus limited,Heraeus Technology Center</t>
  </si>
  <si>
    <t>Johnson Matthey Canada,JM Canada</t>
  </si>
  <si>
    <t>11.  鉱山名を記入。再生材・スクラップを調達した場合は"recycled" 又は"scrap"と記入　B列に記載の金属を採掘した鉱山名を記入してください。金属が「再生材」又は「スクラップ」として調達された場合は、空欄にいずれか（"recycled" 又は"scrap"）を記入してください。 「再生材」及び「スクラップ」に関しては定義を参照してください。</t>
  </si>
  <si>
    <t>12.  鉱山の所在地（国）を記入。再生材又はスクラップを調達した場合は"recycled" 又は"scrap"と記入　空欄に鉱山が所在する国を記入してください。例：オーストラリア（Australia)
金属が「再生材」又は「スクラップ」により調達された場合は、空欄にいずれか（"recycled" 又は"scrap"）を記入してください。「再生材」及び「スクラップ」に関しては定義を参照してください。</t>
  </si>
  <si>
    <t>13. 備考－製錬業者に関するコメントがあれば備考欄に記述してください。例：製錬業者はYYY社に買収されている</t>
  </si>
  <si>
    <t>5. 제련소 위치: 주소 - 귀사의 공급망에 공급되는 광물질을 공정하는 제련소가 위치한 주소를 기입하시오. 이 주소는 광물질 제련 공정을 운영하고 있는 시설(Site)이 위치한 곳을 말합니다. 
제련소의 본사 주소를 기입하지 마시오. (예: 12 Calgary Street)</t>
  </si>
  <si>
    <t>6. 제련소 위치: 시 - 귀사의 공급망에 공급되는 광물질을 공정하는 제련소가 위치한 시를 기입하시오. 이 주소는 광물질 제련 공정을 운영하고 있는 시설(Site)이 위치한 곳을 말합니다. 
제련소의 본사 시를 기입하지 마시오. (예: Montreal)</t>
  </si>
  <si>
    <t>7. 제련소 위치: 도/주 - 귀사의 공급망에 공급되는 광물질을 공정하는 제련소가 위치한 도나 주를 기입하시오. 이 주소는 광물질 제련 공정을 운영하고 있는 시설(Site)이 위치한 곳을 말합니다. 
제련소의 본사 도나 주를 기입하지 마시오. (예: Quebec)</t>
  </si>
  <si>
    <t>8.  제련소 담당자 이름 - 귀사에 공급하는 제련소의 담당자 이름을 기입하시오.</t>
  </si>
  <si>
    <t xml:space="preserve">9.  제련소 담당자 이메일 - 귀사에 공급하는 제련소 담당자의 이메일 주소를 기입하시오.  예: John.Smith@SmelterXXX.com </t>
  </si>
  <si>
    <t xml:space="preserve">10.  해당시 조치와 계획.  제련소가 EICC-GeSI CFS 리스트에 없는 경우, 귀사가 해당 제련소에게 취할 조치와 계획을 작성하시오. 
예시: CFS 프로그램 참여, 협력사 리스트 제외 등의 계획 </t>
  </si>
  <si>
    <t xml:space="preserve">11.  광산 이름(재활용또는 스크랩된 광물일 경우 "재활용" 또는 "스크랩" 이라고 명시하시오) - J단에 명시된 광물을 추출하는 광산의 이름을 기입하시오. 만약에 재활용 또는 스크랩된 된 광물일 경우, "재활용" 또는 "스크랩" 이라고 명시하시오. ("재활용"과 "스크랩" 에 대한 정의를 보시오) </t>
  </si>
  <si>
    <t>12.  광산 위치(국가)(재활용또는 스크랩된 광물일 경우 "재활용" 또는 "스크랩" 이라고 명시하시오) - 광산이 위치한 국가를 기입하시오. (예: 호주) 만약에 재활용또는 스크랩된 광물인 경우, "재활용"또는 "스크랩" 이라고 명시하시오. ("재활용"과 "스크랩" 에 대한 정의를 보시오)</t>
  </si>
  <si>
    <t xml:space="preserve">13.  추가 내용 - 제련소에 대한 추가 정보를 기입하시오. (예:  제련소는 YYY 회사가 구입중 )  </t>
  </si>
  <si>
    <t>5. Localisation de la fonderie (adresse) – Indiquer l'adresse de la fonderie traitant les minerais entrant dans votre chaine d’approvisionnement. Ceci est l’endroit physique où le minerai est traité par la fonderie. Ne pas inscrire l’adresse du siège social de la société. Exemple : 12 Calgary Street</t>
  </si>
  <si>
    <t>6. Localisation de la fonderie: Ville - inscrire le nom de la ville dans laquelle est située la fonderie traitant les minerais entrant dans votre chaine d’approvisionnement.
Ceci est l’endroit physique où le minerai est traité par la fonderie. Ne pas inscrire l’adresse du siège social de la société. Exemple : Montreal</t>
  </si>
  <si>
    <t>7. Localisation de la fonderie: Etat/Province, si applicable. Inscrire l'Etat ou la Province dans laquelle (lequel) est situé(e) la fonderie traitant les minerais entrant dans votre chaine d’approvisionnement.
Ceci est l’endroit physique où le minerai est traité par la fonderie. Ne pas inscrire l’adresse du siège social de la société. Exemple : Quebec</t>
  </si>
  <si>
    <t>8. Nom du contact de la fonderie - Inscrire le nom du contact avec lequel vous avez travaillé au sein de la fonderie.</t>
  </si>
  <si>
    <t>9. Adresse Email du contact de la fonderie – Inscrire l’adresse Email du contact au sein de la fonderie identifié à l'étape #7. Exemple : John.Smith@FonderieXXX.com</t>
  </si>
  <si>
    <t>10. Prochaines actions proposées, si applicable - Lister les actions que vous engagerez avec la fonderie si l’infrastructure ne fait pas partie de la liste de l’EICC-GeSI. Exemples : Demander à l’entreprise de fonderie d’être évaluée suivant la procédure du programme CFS, retirer de la liste des fournisseurs préférés, etc.</t>
  </si>
  <si>
    <t>D. Exigez-vous de vos fournisseurs directs qu'ils s'approvisionnent auprès de fonderies étant en règle avec le protocole CFS en utilisant la liste des fonderies du programme CFS (CFS Compliant Smelter List) ? (*)</t>
  </si>
  <si>
    <t>E.コンフリクトフリーな鉱物調達のためのデューデリジェンス対策を実施していますか？(*)</t>
  </si>
  <si>
    <t>E. Avez-vous mis en place des mesures de due diligence concernant l'approvisionnement Sans Conflit ? (*)</t>
  </si>
  <si>
    <r>
      <t xml:space="preserve">E. Sua Organização implementou medidas  </t>
    </r>
    <r>
      <rPr>
        <i/>
        <sz val="10"/>
        <color indexed="8"/>
        <rFont val="Arial"/>
        <family val="2"/>
      </rPr>
      <t>due diligence</t>
    </r>
    <r>
      <rPr>
        <sz val="10"/>
        <rFont val="Verdana"/>
        <family val="2"/>
      </rPr>
      <t xml:space="preserve"> para fornecedores Livres de Conflitos? (*)</t>
    </r>
  </si>
  <si>
    <t>F.この紛争鉱物報告テンプレートに記入することを一次サプライヤーに要請していますか？(*)</t>
  </si>
  <si>
    <t>F. Demandez-vous à vos fournisseurs de remplir ce formulaire de rapport sur les minerais de conflit ? (*)</t>
  </si>
  <si>
    <t>F. Você solicita aos seus fornecedores que preencham este Relatório acerca de Minerais de Conflito? (*)</t>
  </si>
  <si>
    <t>G.調達元の製錬業者名を明らかにするようサプライヤーに要請していますか？(*)</t>
  </si>
  <si>
    <t>G. 귀사의 협력사에게 제련소명을 제출하도록 요구하고 있습니까? (*)</t>
  </si>
  <si>
    <r>
      <t xml:space="preserve">G. Demandez-vous les noms des fonderies </t>
    </r>
    <r>
      <rPr>
        <sz val="10"/>
        <rFont val="Verdana"/>
        <family val="2"/>
      </rPr>
      <t>à vos fournisseurs ? (*)</t>
    </r>
  </si>
  <si>
    <t xml:space="preserve">G. Sua organização solicita de seus fornecedores os nomes das fundições? (*) </t>
  </si>
  <si>
    <t>H.サプライヤーからのデューデリジェンス情報を検証していますか？(*)</t>
  </si>
  <si>
    <t>H. Vérifiez-vous les informations de due diligence reçues de la part de vos fournisseurs ? (*)</t>
  </si>
  <si>
    <r>
      <t xml:space="preserve">H. Sua organização verifica a informação de </t>
    </r>
    <r>
      <rPr>
        <i/>
        <sz val="10"/>
        <color indexed="8"/>
        <rFont val="Arial"/>
        <family val="2"/>
      </rPr>
      <t>due diligence</t>
    </r>
    <r>
      <rPr>
        <sz val="10"/>
        <rFont val="Verdana"/>
        <family val="2"/>
      </rPr>
      <t xml:space="preserve"> recebida de seus fornecedores? (*)</t>
    </r>
  </si>
  <si>
    <t>I.検証プロセスには是正措置管理が含まれていますか？(*)</t>
  </si>
  <si>
    <t>I. 귀사의 광물질 정보 확인 프로세스는 개선 조치 시스템을 포함하고 있습니까? (*)</t>
  </si>
  <si>
    <t>I. Votre processus de vérification inclut-il la gestion des actions correctives ? (*)</t>
  </si>
  <si>
    <t>I. O seu processo de verificação inclui a gestão de ações corretivas? (*)</t>
  </si>
  <si>
    <t>J.御社は米国証券取引委員会の紛争鉱物開示規則の対象になっていますか？(*)</t>
  </si>
  <si>
    <t>J. Etes-vous assujetti à la règle de divulgation de la SEC concernant les minerais de conflit ? (*)</t>
  </si>
  <si>
    <t>J. Você está sujeito à regra requisito de divulgação Minerais de Conflito da SEC dos Estados Unidos da América ? (*)</t>
  </si>
  <si>
    <t>MSC,Malaysia Smelting Corporation Berhad</t>
  </si>
  <si>
    <t>Plansee Group,Plansee Holding AG</t>
  </si>
  <si>
    <t>Zhuzhou,Zhuzhou Cemented Carbide Works Import and Export Co.</t>
  </si>
  <si>
    <t>EICC Extractives website: (www.eicc.info/extractives.htm)
Schulung, Anfragevorlage, häufig gestellte Fragen, Konfliktfreie Schmelzhütten (CFS) Liste</t>
  </si>
  <si>
    <t>Spanish</t>
  </si>
  <si>
    <r>
      <t>EICC Extractives website: (www.eicc.info/extractives.htm)
Entrenamiento</t>
    </r>
    <r>
      <rPr>
        <b/>
        <i/>
        <sz val="12"/>
        <rFont val="Arial"/>
        <family val="2"/>
      </rPr>
      <t xml:space="preserve">, templete de requerimiento, Preguntas frecuentes, Lista de fundidores libres de minerales en conflicto (CFS por siglas en Ingles) </t>
    </r>
  </si>
  <si>
    <t>Introduccion</t>
  </si>
  <si>
    <t>2. Seleccione la declaracion del alcance de su empresa.  Para las selecciones de alcance de la "división" o "Categoría de Productos", provea los detalles adicionales que describan división de la empresa o planta, o de una categoría específica de producto (s) para  que  esta plantilla sea completada en la sección "Descripción del alcance". Para la seleccion del alcance del producto(s) un link a la pestaña de la hoja de excel se mostrara para la lista de productos.</t>
  </si>
  <si>
    <t>3. Inserte su unico numero de indentificador de la compañia o codigo ( Numero DUNS ,  Numero VAT, etc)</t>
  </si>
  <si>
    <t>4.  Inserte la direccion completa de la compañia (Calle, ciudad, estado, pais, codigo postal)</t>
  </si>
  <si>
    <t>5.  Por favor indentifique el representate autorizado responsible de la veracidad de los datos en este templete</t>
  </si>
  <si>
    <t>7.  Por favor introduzca la fecha de elaboracion de esta forma usando el formato  DD-MMM-AAAA</t>
  </si>
  <si>
    <t>8.  Guarde el archivo como: compañianombre-fecha.xls (fecha como YYYY-MM-AA)</t>
  </si>
  <si>
    <t xml:space="preserve">Instrucciones para completar las  seis preguntas  (renglones 21 - 51). Proveer respuestas en INGLES solamente
 </t>
  </si>
  <si>
    <t>Estas seis preguntas definen el uso, origen e identificacion de la fuente para cada uno de los metales. Las respuestas a esta preguntas deben de representar la  "el alcance de la declaracion" seleccionado en la seccion de informacion de la compañia.</t>
  </si>
  <si>
    <t>Para cada una de las seis preguntas requeridas, proveer una respuesta para cada metal usando el menu de selecciones.</t>
  </si>
  <si>
    <t>1. Si la respuesta proveida para cualquier  metal es "no", todos los campos restantes dentro de esta seccion seran remarcados en negro, indicando que no mas respuestas son necesarias y que la declaracion se considera completa.</t>
  </si>
  <si>
    <t>Si la respuesta proveida para cualquier metal es "Si", se requieren respuestas para las preguntas 2 al 6, como se indica en los campos remarcados en amarillo.</t>
  </si>
  <si>
    <t>2 y 3. Para cada metal, seleccione la respuesta adecuada referente a su origen.</t>
  </si>
  <si>
    <t>4. Para cada metal, seleccione la mejor respuesta adecuada que represente el estatus de las actividade de recoleccion de datos del proveedor.</t>
  </si>
  <si>
    <t>5. Para cada metal, seleccione la mejor respuesta apropiada que represente el estatus del esfuerzo de identificacion del fundidor.</t>
  </si>
  <si>
    <t>6. Para cada metal, seleccione la respuesta apropiada basado en la comparacion de los fundidores en la cadena de proveedores que sera publicada en la lista de fundidores que cumplen</t>
  </si>
  <si>
    <t>checar la seccion de comentarios de la liga proveida arriba para verificar el estatus del fundidor.</t>
  </si>
  <si>
    <t xml:space="preserve"> Si se necesita para aclarar sus respuestas, proveer comentarios en la seccion de comentarios</t>
  </si>
  <si>
    <t>Instrucciones para completar las preguntas A. – K. (renglones 53 - 73).
Proveer respuestas en INGLES solamente.</t>
  </si>
  <si>
    <t>La Guía de cuidado de la OCDE para las cadena de  Suministro Responsable de minerales de zonas afectadas por conflictos y de areas de alto riesgo (OCDE Orientación) define  " Cuidados", como "un proceso continuo, proactivo y reactivo a través del cual las empresas pueden garantizar que se respeten los derechos humanos y no contribuyen a los conflictos ". El debido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</si>
  <si>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r>
      <t xml:space="preserve">A. </t>
    </r>
    <r>
      <rPr>
        <sz val="12"/>
        <rFont val="Arial"/>
        <family val="2"/>
      </rPr>
      <t xml:space="preserve"> Por favor responda “Si” o “No”.  Proveer cualquier comentario, si es necesario.</t>
    </r>
  </si>
  <si>
    <r>
      <rPr>
        <b/>
        <sz val="12"/>
        <rFont val="Arial"/>
        <family val="2"/>
      </rPr>
      <t>B.</t>
    </r>
    <r>
      <rPr>
        <sz val="12"/>
        <rFont val="Arial"/>
        <family val="2"/>
      </rPr>
      <t xml:space="preserve">  Por favor responda “Si” o “No” si esf “Si”, provea la liga web en la seccion de comentarios.</t>
    </r>
  </si>
  <si>
    <r>
      <t xml:space="preserve">C.  </t>
    </r>
    <r>
      <rPr>
        <sz val="12"/>
        <rFont val="Arial"/>
        <family val="2"/>
      </rPr>
      <t>Por favor responda “Si” o “No”.  Provea cualquier comentario si es necesario.  “ Libre de conflicto DRC” esta definido en la reforma Dodd-Frank de Wall street de los Estados Unidos  y en la ley de proteccion al consumidor como "  Productos que no contengan minerales conflictivos que directamente o indirectamente financien o beneficien grupos armados en la Republica Democratica del Congo o paises limitrofes".</t>
    </r>
  </si>
  <si>
    <r>
      <t xml:space="preserve">D.  </t>
    </r>
    <r>
      <rPr>
        <sz val="12"/>
        <rFont val="Arial"/>
        <family val="2"/>
      </rPr>
      <t>Por favor responda “Si” o “No”.  La lista de fundidores sin conflicto (CFS) es una lista de fundidores de minerales y refinadores que han sido validados para estar en cumplimiento del programa CFS.  Para la lista mas reciente y mayor informacion sobre el programa por favor vaya a  www.conflictfreesmelter.org.  Provea cualquier comentario, si es necesario.</t>
    </r>
  </si>
  <si>
    <t>12. Localizacion (pais) de la Mina(s) o si proviene del reciclado o desecho diga “reciclado” o “desecho”   -  En la la celda proveida, identifique el pais en le cual se encuentra la mina.  Ejemplo: Australia.  si el metal fue proveido de fuentes del “reciclado” o “desecho", note cual (desecho  o reciclado) fue proveido. Vea definiciones de “reciclado” y  “desecho”.</t>
  </si>
  <si>
    <t>13. Comentarios– campo libre para poner cualquier comentario sobre el fundidor.  Ejemplo: El fundidor esta siendo adquirido por la compañia YYY</t>
  </si>
  <si>
    <t>2. Smelter Reference List(*) - Select from dropdown.  This is the list of known smelters as of template release date.  If smelter is not listed select 'Smelter Not Listed'</t>
  </si>
  <si>
    <t>3. Standard Smelter Names (*)- Fill in smelter name if you selected 'Smelter Not Listed' in column 'c'.  This field will auto-populate when a smelter name in selected in column 'c'.</t>
  </si>
  <si>
    <t>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t>
  </si>
  <si>
    <t>YTCL,Yuntinic Resources Inc.,Smelting Branch of Yunnan Tin Company Limited</t>
  </si>
  <si>
    <t>Smelting Branch of Yunnan Tin Company Limited</t>
  </si>
  <si>
    <t>Identificacion del fundidor</t>
  </si>
  <si>
    <t>Nombres estandard del fundidor</t>
  </si>
  <si>
    <t>Alias conocidos</t>
  </si>
  <si>
    <t>Nombres estandard del fundidor (*)</t>
  </si>
  <si>
    <t>Para empezar:
Paso1. Seleccione Metal en columna B
Paso 2. Selecione de la opciones en la columna C
Paso 3. Si la seleccion de las opciones es " Fundidor no listado" complete  las columnas D y E
Paso 4. Ponga toda la informacion disponible del fundidor en las columnas de la F a la N.</t>
  </si>
  <si>
    <t>Smelter Reference List (*)</t>
  </si>
  <si>
    <t>冶炼厂参考清单(*)</t>
  </si>
  <si>
    <t>製錬業者参照表(*)</t>
  </si>
  <si>
    <t>제련소 참조 리스트(*)</t>
  </si>
  <si>
    <t>Liste des fonderies référencées(*)</t>
  </si>
  <si>
    <t>Schmelzhütten-Referenz-Liste(*)</t>
  </si>
  <si>
    <t>Lista de referencia de fundidores(*)</t>
  </si>
  <si>
    <t>2。冶炼厂参考文献列表（*） - 从下拉列表中选择。这是已知的冶炼厂作为模板的发布日期。如果未列出冶炼厂选择“冶炼厂未列出”</t>
  </si>
  <si>
    <t>2. 제련소 참조리스트 (*) - 드롭 다운 메뉴에서 선택합니다. 이 템플릿 릴리스 날짜로 알려진 그러면 오늘의 목록입니다. 제련소가 표시되지 않으면 다음 '제련소가 나타나지 않는다'</t>
  </si>
  <si>
    <t>2. Liste de référence fonderie (*) - Sélectionnez la liste déroulante. Il s'agit de la liste des fonderies connue comme la date de sortie de modèle. Si fonderie n'est pas répertorié, sélectionnez 'Non répertorié fonderie »</t>
  </si>
  <si>
    <t>2. Lista de fundição de Referência (*) - Selecione suspenso. Esta é a lista de fundições conhecido como data de lançamento do modelo. Se fundição não estiver listado, selecione "Não Smelter Listado '</t>
  </si>
  <si>
    <t>2. Smelter Referenzliste (*) - Wählen Sie aus der Dropdown. Dies ist die Liste der bekannten Hütten, wie der Vorlage release date. Wenn Hütte nicht aufgeführt ist select 'Smelter Nicht gelistet "</t>
  </si>
  <si>
    <t>2. Fundición Lista de Referencias (*) - Seleccione desplegable. Esta es la lista de las fundiciones conocidas a la fecha plantilla de liberación. Si fundición no está en la lista, seleccione 'No Fundición Listado'</t>
  </si>
  <si>
    <t>3. Nombres estándar Fundición (*) - Escriba el nombre fundición si ha seleccionado 'Fundición no mencionados' en la columna 'c'. Este campo se rellenará automáticamente cuando un nombre en fundición seleccionado en la columna 'c'.</t>
  </si>
  <si>
    <t>3. Standard Smelter Names (*) - in Schmelz Namen ausfüllen, wenn Sie gewählt 'Smelter Nicht aufgeführt in der Spalte' c '. Dieses Feld wird automatisch aufgefüllt, wenn eine Hütte Namen in der Spalte 'c' ausgewählt.</t>
  </si>
  <si>
    <t>Minérios de Conflito são considerados "reciclado", quando recuperado(s) do usuário final ou pós-consumo de produtos, mas não é considerado "reciclado" os minérios que estão parcialmente processados, ou um subproduto de outro minério. Para definição completa ver as regras da SEC (http://www.sec.gov/rules/final/2012/34-67716.pdf).</t>
  </si>
  <si>
    <t>Konflikt Mineralien gelten als "recycelt", wenn sie aus Endnutzer- oder Post-Consumer-Produkten zurück gewonnen werden, aber nicht als "recycelt" wenn sie teilweise verarbeitet werden, oder ein Nebenprodukt aus einem anderen Erz sind. Für das Gesamtjahr Definition siehe SEC Rules (http://www.sec.gov/rules/final/2012/34-67716.pdf).</t>
  </si>
  <si>
    <t xml:space="preserve">EICC 분쟁광물 워킹그룹 웹사이트 (www.eicc.info/extractives.htm)
분쟁광물 사용에 관한 교육자료, 자주하는질문(FAQs), 분쟁으로부터 자유로운 제련소 (CFS, Conflict Free Smelter) 리스트를 확인할 수 있습니다. </t>
  </si>
  <si>
    <t>분쟁광물 사용보고 템플릿은 EICC(전자산업 시민연대, Electronic Industry Citizenship Coalition)와 GeSI(글로벌 e지속가능성 이니셔티브, Global e-Sustainability Initiative)가 공동 제작한 것으로 분쟁에 기여된  광물질 관련 구매 정보를 수집하기 위한 문서입니다. 기업들은 미국에서 새롭게 제정된 법안* 준수를 지원하고 책임있는 광물질 구매를 증명하기 위한 실사 프로그램의 일환으로 이 템플릿을 활용할 수 있습니다. 이 템플릿은 EICC와 GeSI의 CFS 프로그램**(Conflict Free Smelter Program) 관련 활동들을 바탕으로 제작되었습니다.</t>
  </si>
  <si>
    <t>"EICC-GeSI 분쟁으로부터 자유로운 제련소" 리스트를 확인하려면 51줄에 링크를 참조하시오.</t>
  </si>
  <si>
    <t xml:space="preserve">D.   "Yes=예" 또는 "No=아니오"로 답하시오. 분쟁으로부터 자유로운 제련소 리스트 Conflict-Free Smelter (CFS) List는 분쟁으로부터 자유로운 제련소 평가 프로그램에 검증된 준수 제련소들임. 추가 답변이 필요할 경우 작성하시오. </t>
  </si>
  <si>
    <t>J.   "Yes=예" 또는 "No=아니오"로 답하시오.. 미국 SEC 분쟁광물 사용보고 공개 요구 사항은 미국 증권거래법의 적용을 받는 미국 주식 시장에 상장된 기업들에게 적용됩니다.  자세한 내용은 www.sec.gov</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</si>
  <si>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</si>
  <si>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분쟁광물 사용보고 템플릿</t>
  </si>
  <si>
    <t>4) 귀사의 모든 협력사로부터 분쟁 광물 사용보고 템플릿 을 제출 받았습니까? (*)</t>
  </si>
  <si>
    <t>6) 귀사와 귀사의 협력사가 사용하는 금속을 공급하는 제련소는 "EICC-GeSI 분쟁으로부터 자유로운 제련소(Conflict Free Smelter)" 프로그램에 준수하며 그리스트에 포함되어 있습니까?(*)</t>
  </si>
  <si>
    <t>D. 귀사의 협력사에게 "EICC-GeSI 분쟁으로부터 자유로운 제련소 프로그램(Conflict Free Smelter)"에서 인증한 제련소로부터 광물을 구매하도록 요구하고 있습니까?(*)</t>
  </si>
  <si>
    <t>E. 귀사의 협력사들의 분쟁광물 사용 금지 현황을 파악하기 위한 구매 실사(Due Dilligence) 평가를 실시하고 있습니까? (*)</t>
  </si>
  <si>
    <t>F. 귀사의 모든 협력사에게 "분쟁광물 사용보고 템플릿"을 작성하도록 요청합니까? (*)</t>
  </si>
  <si>
    <t>H. 귀사의 협력사들로부터 받은 분쟁광물 사용 관련 정보의 사실 여부를 확인하고 있습니까? (*)</t>
  </si>
  <si>
    <t>J. 귀사는 미국 증권거래위원회가 요구하는 분쟁광물 사용 공개조건 사항에 적용됩니까? (*)</t>
  </si>
  <si>
    <t xml:space="preserve"> "EICC-GeSI 분쟁으로부터 자유로운 제련소" 리스트를 확인하시려면 클릭하세요</t>
  </si>
  <si>
    <t>주석: 아래의 리스트는 EICC-GeSI 분쟁으로부터 자유로운 제련소 (CFS) 및 전세계 제련소를 의미하는 것은 아님</t>
  </si>
  <si>
    <t>분쟁으로부터 자유로운 준수 제련소 리스트 CFS Compliant Smelter List</t>
  </si>
  <si>
    <t>분쟁으로부터 자유로운 제련소 프로그램 CFS Program</t>
  </si>
  <si>
    <t>분쟁광물 Conflict Mineral</t>
  </si>
  <si>
    <t>"분쟁으로부터 자유로운 제련소 평가 프로그램 준수 리스트"에 나열된 제련소들는 독립적 감사에 통과하고 CFS 프로토콜을 준수하는  제련소들임.
리스트는 아래 웹페이지에서 확인가능함
http://www.conflictfreesmelter.org/</t>
  </si>
  <si>
    <t>EICC 와 GeSI가 개발한 분쟁으로부터 자유로운 제련소 평가 프로그램 (The Conflict-Free Smelter CFS Program) 은 회사의 책임감 있는 광물 구매 역량 강화를  위한 프로그램임.
상세 내용은 아래 웹페이지에서 확인 가능
http://www.conflictfreesmelter.org/</t>
  </si>
  <si>
    <t>2010년 미국 제정법, 도드프랭크 (“Dodd-Frank”) 금융 개혁 및 소비자 보호를 위한 법률, 1502(e)(4)조 정의에 의한바:
"분쟁광물 (Conflict Mineral)"이란
(A) columbite-tantalite (coltan), cassiterite, 금, wolframite 및 그들의 유도체; 또는
(B) 미국무장관에 의해 콩고 민주공화국 또는 인접국가의 무장단체에게 이익을 제공하는 겄으로 결정된 광물 및 그의 유도체.
http://www.sec.gov/about/laws/wallstreetreform-cpa.pdf</t>
  </si>
  <si>
    <t>4. Localização fundição da Instituição: País (*) - Este campo será preenchido automaticamente quando um nome de fundição é selecionado na coluna 'c'. Se você selecionar 'Smelter não listado' na coluna 'c', use o menu suspenso para selecionar o país de localização da instalação de fundição que processa os minerais que entram em sua cadeia de abastecimento. Esta é a localização física da fundição, onde os minerais estão a ser processados​​. Não lista a sede da empresa. Exemplo: Canadá</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</si>
  <si>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</si>
  <si>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</si>
  <si>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 2011 Electronic Industry Citizenship Coalition, Incorporated and Global e-Sustainability Initiative. Derechos Reservados</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</si>
  <si>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t>
  </si>
  <si>
    <t>Articulo</t>
  </si>
  <si>
    <t>Pais limitrofe</t>
  </si>
  <si>
    <t>Lista de fundidores que cumplen con CFS</t>
  </si>
  <si>
    <t>Programa CFS</t>
  </si>
  <si>
    <t>Minerales en conflicto</t>
  </si>
  <si>
    <t>Alcance de la declaracion</t>
  </si>
  <si>
    <t>DRC libre de conflicto</t>
  </si>
  <si>
    <t>Refinador de Oro (fundidor)</t>
  </si>
  <si>
    <t>Producto</t>
  </si>
  <si>
    <t>Categoria de producto</t>
  </si>
  <si>
    <t>Materiales reciclados o de desecho</t>
  </si>
  <si>
    <t>Fundidor</t>
  </si>
  <si>
    <t>Fundidor de Tantalio</t>
  </si>
  <si>
    <t>Fundidor de Estaño</t>
  </si>
  <si>
    <t>Fundidor de Tungsteno</t>
  </si>
  <si>
    <t>DEFINICION</t>
  </si>
  <si>
    <t>Un pais que comparte una frontera internacional reconocida con la Republica Democratica del Congo es considerado un " pais limitrofe".</t>
  </si>
  <si>
    <t>La lista de fundidores que cumplen con el programa de fundidores libres de conflicto es una lista que ha sido auditada independientemente y esta determinada a cumplir con el protocolo CFS. La lista y protocolos pueden ser encontrados en: (http://www.conflictfreesmelter.org/)</t>
  </si>
  <si>
    <t>El programa fundidores libres de conflicto (CFS) es un programa desarrollado por la EICC y GeSI para mejorar la capacidad de la compañia para verificar el abastecimiento responsable de metales. Mas detalles del programa CFS pueden ser encontrados en: (http://www.conflictfreesmelter.org/)</t>
  </si>
  <si>
    <t>Como esta definido en la legislacion de los Estados Unidos de 2010, en la reforma Dodd-Frank de Wall Street Y en la ley de proteccion al consumidor, Seccion 1502(e)(4):
MINERAL EN CONFLICTO.—El termino " mineral en conflicto" significa—
(A) columbita-tantalita (coltan), cassiterita, oro, wolframio, o sus derivados,  or
(B) Cualquier otro mineral o sus derivados determinados por la secretaria de estado que esten financiando un conflicto en la Republica Democratica del Congo o en paises limitrofes.
(disponible en  http://www.sec.gov/about/laws/wallstreetreform-cpa.pdf)</t>
  </si>
  <si>
    <t>Para propositos de este templete, el alcance describe la aplicabilidad de la informacion proveida por la compañia que reporta.  El alcance puede englobar todos los servicios de la compañia y/o productos, o a discrecion de la compañia, el templete puede ser usado para una division especifica de la compañia, categoria de productos o producto(s).</t>
  </si>
  <si>
    <t>Una division es una unidad de negocios definida que desempeña un servicio especifico o produce una categoria de productos especifica.</t>
  </si>
  <si>
    <t>Legislacion 2010 de los Estados Unidos, reforma Dodd-Frank  de Wall Street y Ley de proteccion al consumidor. Section 1502 (“Dodd-Frank”) (http://www.sec.gov/about/laws/wallstreetreform-cpa.pdf)</t>
  </si>
  <si>
    <t>Republica Democratica del Congo</t>
  </si>
  <si>
    <t>Esta definida para describir los productos que no contienen minerales que directa o indirectamente financien o beneficien grupos armados en la Republica Democratica del Congo o paises limitrofes.  Fuente: Legislacion 2010 de los Estados Unidos, Reforma Dodd-Frank de Wall Street y Ley de Proteccion al Consumidor, Section 1502 (http://www.sec.gov/about/laws/wallstreetreform-cpa.pdf)</t>
  </si>
  <si>
    <t>Coalicion Ciudadana de la Industria Electronica (www.eicc.info)</t>
  </si>
  <si>
    <t>Iniciativa Global  e-Sustainability (www.gesi.org)</t>
  </si>
  <si>
    <t>Una refinacion de Oro es una operacion metalurgica que produce Oro fino con una concentracion de 99.5% o mayor del Oro o de materiales que contengan Oro con menor concentracion.</t>
  </si>
  <si>
    <t>Organization para la co-operacion economica y desarrollo.</t>
  </si>
  <si>
    <t>Un producto de la compañia o bien final es un material que ha completado la etapa final de manufactura y/o proceso y esta disponible para distribucion o venta para los clientes.</t>
  </si>
  <si>
    <t>Un grupo de productos que pueden ser descritos por un termino generico reconocido por la industria (ejemplo. capacitores).</t>
  </si>
  <si>
    <t>Un fundidor es una compañia que compra y procesa minerales, escoria y/o recicla materiales y desechos para obtener un metal  refinado metal o un producto intermedio que contenga metal.  El producto puede ser puro (99.5% o mayor) metales, polvos, lingotes, barras, granos, oxidos o sales.</t>
  </si>
  <si>
    <t>Un fundidor de tantalio es una compañia  la cual convierte minerales que contienen Tantalio (Ta), escoria, polvo o desechos en productos conteniendo Ta (tales como polvos de Ta, componentes de Ta, oxidos de Ta, aleaciones, alambres, barras sinterizadas o productos similares finales) o productos intermedios (tales como KTaF(tambien conocida como  KSalt), Hidroxidos de tantalio Ta y polvos no refinados de Ta, minerales sinteticos otros materiales de digestio de Ta).</t>
  </si>
  <si>
    <t>Un fundidor de Estaño se refiere a las compañias tratadoras de minerales concentrados de estaño para producir un  Estaño crudo o totalmente refinado (≥99.85% puro). Fundidores secundarios son compañias que tratan materiales secundarios para producir un Estaño crudo totalmente refinado. Las refinerias son compañias que tratan el Estaño crudo o materiales secundarios adecuados para producir Estaño totalmente refinado. Fundidores de Estaño pueden ser uno de ellos o una combinacion de los anteriores.</t>
  </si>
  <si>
    <t>Templete de reporte para minerales conflictivos</t>
  </si>
  <si>
    <t>El proposito de este documento es recolectar informacion de la fuente del Estaño, Tantalio, tungsteno y Oro usado en productos</t>
  </si>
  <si>
    <t>Nombre de la compañia (*):</t>
  </si>
  <si>
    <t>Alcance de la declaracion (*):</t>
  </si>
  <si>
    <t>Identificador unico de la compañia:</t>
  </si>
  <si>
    <t>Direccion:</t>
  </si>
  <si>
    <t>Nombre del representante autorizado por la compañia (*):</t>
  </si>
  <si>
    <t>6) Han sido validados todos los fundidores y sus proveedores usados por tu compañia para que esten en cumplimiento de acuerdo con el programa de fundidores libres de conflicto y listados en la lista de fundidores que cumplen con los siguientes metales? (*)</t>
  </si>
  <si>
    <t>A: Tienes una politica implementada que incluya un suministro libre de conflicto RDC? (*)</t>
  </si>
  <si>
    <t>B: Esta politica esta publicamente disponible en tu website? (*)</t>
  </si>
  <si>
    <t>E. Has implementado medidas sobre el cuidado para abastecimiento libre de conflicto? (*)</t>
  </si>
  <si>
    <t>F. Pides a tus proveedores que llenen este templete de reporte para minerales conflictivos? (*)</t>
  </si>
  <si>
    <t>G. Pides  el nombre de los fundidores a tu proveedores? (*)</t>
  </si>
  <si>
    <t>* En 2010, los EE.UU. Dodd-Frank se aprobó la Ley sobre "minerales del conflicto" procedentes de la República Democrática del Congo (RDC) o de los países vecinos. La SEC ha publicado reglas finales relacionados con la divulgación del origen de los minerales de conflicto por las compañías estadounidenses que cotizan en bolsa (vea las reglas en http://www.sec.gov/rules/final/2012/34-67716.pdf). Las reglas referencia a la Guía de la OCDE Due Diligence para Cadenas de Suministro Responsable de minerales de zonas de conflicto y de alto riesgo, (http://www.oecd.org/dataoecd/62/30/46740847.pdf), que guía a los proveedores establecer las políticas, los marcos de diligencia debida, y sistemas de gestión.
 ** Ver información sobre la Fundición de Conflictos-Free (CFS) Programa (www.conflictfreesmelter.org/) y otra información (www.eicc.info / extractives.htm).</t>
  </si>
  <si>
    <t>Minerales Conflictivos son considerados "reciclados" cuando se obtienen como prodcutos al final de uso o post-consumo, pero no se consideran "reciclados" aquellos minerales que son parcialmente procesados, o son un subproductos de otros minerales. Para ver la definición completa Reglamento SEC (http://www.sec.gov/rules/final/2012/34-67716.pdf).</t>
  </si>
  <si>
    <t>矿产冲突认为"回收"是代表最终用户或消费后的产品,但不认为"回收"是代表经过部分处理的矿物质或矿石的副产品。
如需完整的定义，看SEC规则（http://www.sec.gov/rules/final/2012/34-67716.pdf).</t>
  </si>
  <si>
    <t>紛争鉱物が再生された最終消費者製品又は使用済み製品である場合「再生材」とみなされるが、製錬過程にある鉱物又は他の鉱石からの副産物は「再生材」とはみなされない。完全な定義については、SEC規則（http://www.sec.gov/rules/final/2012/34-67716.pdf）を参照してください。</t>
  </si>
  <si>
    <t>Les minerais de conflits sont considérés comme "recyclés" s'ils sont réutilisés post-consommateur.
Exemple: les minerais extraits d'un téléphone ou d'un ordinateur portable ayant déjà servi.  Les minerais partiellement traités ou étant un dérivé ou produit secondaire d'un autre minerai sont considérés comme des scories, ou fragments
Pour la définition complète, voir Règles SEC (http://www.sec.gov/rules/final/2012/34-67716.pdf).</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</si>
  <si>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</si>
  <si>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</si>
  <si>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待完成的必填栏位</t>
  </si>
  <si>
    <t>未記入の必須項目があります</t>
  </si>
  <si>
    <t>미기입 된 필수 항목</t>
  </si>
  <si>
    <t>Champs obligatoires non complétés</t>
  </si>
  <si>
    <t>Campos obrigatórios ainda não foram preenchidos</t>
  </si>
  <si>
    <t>Erforderliche Felder offen zur Vervollständigung</t>
  </si>
  <si>
    <t>Los restantes campos requeridos debe ser completados</t>
  </si>
  <si>
    <t>必填栏位</t>
  </si>
  <si>
    <t>必須項目</t>
  </si>
  <si>
    <t>필수 항목</t>
  </si>
  <si>
    <t>Champs obligatoires</t>
  </si>
  <si>
    <t>Campos Obrigatórios</t>
  </si>
  <si>
    <t>Erforderliche Felder</t>
  </si>
  <si>
    <t>Campos requeridos</t>
  </si>
  <si>
    <t>已提供的答案</t>
  </si>
  <si>
    <t>기입된 답변</t>
  </si>
  <si>
    <t>Réponse fournie</t>
  </si>
  <si>
    <t>Resposta fornecida</t>
  </si>
  <si>
    <t>Antwort ist vorhanden</t>
  </si>
  <si>
    <t>Respuestas requeridos</t>
  </si>
  <si>
    <t>备注</t>
  </si>
  <si>
    <t>注</t>
  </si>
  <si>
    <t>노트</t>
  </si>
  <si>
    <t>Remarques</t>
  </si>
  <si>
    <t>Notas</t>
  </si>
  <si>
    <t>Notizen</t>
  </si>
  <si>
    <t xml:space="preserve">在“申报“工作表上选择报告级别为“产品层面"才必须完成此项。 </t>
  </si>
  <si>
    <t>「申告」タブの報告レベルで「製品レベル」を選択した場合のみ記入が必須となります</t>
  </si>
  <si>
    <t>Completar somente o relatório for selecionado "nível de produto"  na 'Declaração' guia.</t>
  </si>
  <si>
    <t>Se requiere completar solamente si el nivel de reporte "Nivel-producto" se selecciona en la pestaña de "Declaracion".</t>
  </si>
  <si>
    <t>产品或项目料号（*）</t>
  </si>
  <si>
    <t>製品又は品目番号(*)</t>
  </si>
  <si>
    <t>제품 또는 아이템 번호 (*)</t>
  </si>
  <si>
    <t>Produit ou Numéro d'item (*)</t>
  </si>
  <si>
    <t>Número do Produto ou do Item (*)</t>
  </si>
  <si>
    <t>Produkt- oder Artikelnummer (*)</t>
  </si>
  <si>
    <t>Numero de producto o articulo(*)</t>
  </si>
  <si>
    <t>产品或项目描述</t>
  </si>
  <si>
    <t>製品又は品目の説明</t>
  </si>
  <si>
    <t>제품 또는 아이템 설명</t>
  </si>
  <si>
    <t>Description du Produit ou de l'item</t>
  </si>
  <si>
    <t xml:space="preserve">Descrição do Produto ou Item </t>
  </si>
  <si>
    <t>Produkt- oder Artikelbeschreibung</t>
  </si>
  <si>
    <t>descripcion de producto o articulo</t>
  </si>
  <si>
    <t>Champ à compléter uniquement si la mention "Niveau Produit" a été sélectionné dans la feuille 'Déclaration'</t>
  </si>
  <si>
    <t>Note: The following list of smelter names does not represent the EICC-GeSI Conflict-Free Smelter (CFS) or all smelters worldwide.</t>
  </si>
  <si>
    <t xml:space="preserve">注：以下的冶炼厂名单不包括EICC-GeSI 无冲突冶炼厂或全球所有冶炼厂。 </t>
  </si>
  <si>
    <t>注：以下の製錬業者リストは、EICC-GeSIコンフリクトフリー製錬業者（CFS）、又は世界中の全製錬業者を示すものではありません。</t>
  </si>
  <si>
    <t>Remarque: La liste de fonderies ne représente pas les fonderies Sans Conflit de l'EICC-GeSI ou toutes les fonderies mondialement</t>
  </si>
  <si>
    <t>9. Email do Contato na Unidade de Fundição - Preencha o endereço de Email da pessoa de Contato da Unidade que você identificou no passo 7. Ex.: JoaoSmith@smelterXXX.com</t>
  </si>
  <si>
    <t xml:space="preserve">10. Este campo está disponível para caso seja necessa´rio adicionar mais informações, se aplicável - Forneça ações que você realizará se a unidade não estiver entre as empresas na Lista de FLC do EICC-GeSI. Por exemplo: solicite que a unidade de fundição seja avaliada por meio do Programa, remova da lista de fornecedores preferenciais, etc. </t>
  </si>
  <si>
    <t xml:space="preserve">11. Nome da Mina(s) ou, se defonte de reciclagem ou sucata, declare "reciclado" ou "sucata" - Forneça o nome da mina da qual foi extraído o metal registrado na coluna B. Se o metal foi fornecido de fonte de reciclagem ou sucata, registre qual (sucata ou reciclado) no campo disponível. Veja as definições para "reciclado" e "sucata". </t>
  </si>
  <si>
    <t>12. Localização (País) da Mina ou, se originário de reciclado ou sucata, declare "reciclado" ou "sucata" - Deve ser registardo no Campo fornecido, identificando o país no qual a mina se localiza. Exemplo: Austrália. Se caso o metal seja de fontes de "reciclagem"ou de "sucata" registre qual (reciclado ou sucata) no campo disponível. Veja as definições para  "reciclado" e "sucata"</t>
  </si>
  <si>
    <t xml:space="preserve">鉴于名单和/或任何工具的使用，用户在此同意并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
b)保障，捍卫和不会追究EICC和GeSI，以及他们的相关管理人员、董事、代理、员工、志愿者、代表、承包商、继承人、指定人，因为使用名单或任何工具而导致或产生的任何及全部索赔、行动、损失、诉讼、损害、判决、征费、和处决。
</t>
  </si>
  <si>
    <t xml:space="preserve">Nota: A seguinte lista dos nomes de fundições não representa as Fundições Livres de Conflito EICC-GeSI ou todas as Fundições ao redor do  mundo. </t>
  </si>
  <si>
    <t xml:space="preserve">Hinweis: Die folgende Liste der Schmelzhütten Namen representiert nicht die EICC-GeSI Konflikt-Freie Schmelzhütten (CFS) oder alle weltweiten Schmelzhütten </t>
  </si>
  <si>
    <t>Nota: La siguiente lista de nombres de fundidores no representa la  lista de fundidores libres de conflicto (CFS) de la EICC-GeSI o todos los fundidores mundiales</t>
  </si>
  <si>
    <r>
      <t>M</t>
    </r>
    <r>
      <rPr>
        <sz val="10"/>
        <rFont val="Verdana"/>
        <family val="2"/>
      </rPr>
      <t>étal</t>
    </r>
  </si>
  <si>
    <t>Metall</t>
  </si>
  <si>
    <t>冶炼工厂地址（国家）</t>
  </si>
  <si>
    <t>製錬施設所在地：国</t>
  </si>
  <si>
    <t xml:space="preserve">제련소 위치: 국가 </t>
  </si>
  <si>
    <t xml:space="preserve">Localisation de la fonderie : Pays </t>
  </si>
  <si>
    <t xml:space="preserve">Local da Unidade de Fundição: País </t>
  </si>
  <si>
    <t xml:space="preserve">Localizacion de la fabrica de fundicion: Pais </t>
  </si>
  <si>
    <t>Denominator Check</t>
  </si>
  <si>
    <t>Scope Category</t>
  </si>
  <si>
    <t>Company Level</t>
  </si>
  <si>
    <t>Selection</t>
  </si>
  <si>
    <t># of Required fields</t>
  </si>
  <si>
    <t>No Metal</t>
  </si>
  <si>
    <t>1 Metal</t>
  </si>
  <si>
    <t>2 Metal</t>
  </si>
  <si>
    <t>3 Metal</t>
  </si>
  <si>
    <t>4 Metal</t>
  </si>
  <si>
    <t>Standard Smelter Names (*)</t>
  </si>
  <si>
    <t>To begin:
Step 1. Select Metal in column B
Step 2. Select from dropdown in column C
Step 3. If dropdown selection is "Smelter Not Listed" complete columns D &amp; E
Step 4. Enter all available smelter information in columns F thru N</t>
  </si>
  <si>
    <t># of required field based on declaration scope selection</t>
  </si>
  <si>
    <t># of required field based on metal selection</t>
  </si>
  <si>
    <t>Smelter Not Listed</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</si>
  <si>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</si>
  <si>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Allgemeine Gold- und Silberscheideanstalt A.G.</t>
  </si>
  <si>
    <t>Allgemeine Gold,Allgemeine Gold- &amp; Silberscheideanstalt,Allgemeine</t>
  </si>
  <si>
    <t>AngloGold Ashanti Mineração Ltda</t>
  </si>
  <si>
    <t>AngloGold Ashanti</t>
  </si>
  <si>
    <t>Argor-Heraeus SA</t>
  </si>
  <si>
    <t>Asahi Pretec Corp</t>
  </si>
  <si>
    <t xml:space="preserve">Atasay Kuyumculuk Sanayi Ve Ticaret A.S. </t>
  </si>
  <si>
    <t>ATAkulche</t>
  </si>
  <si>
    <t>Aurubis AG</t>
  </si>
  <si>
    <t>Aurubis,Norddeutsche Affinererie AG</t>
  </si>
  <si>
    <t>Central Bank of the Philippines Gold Refinery &amp; Mint</t>
  </si>
  <si>
    <t>Boliden AB</t>
  </si>
  <si>
    <t>Cendres &amp; Métaux SA</t>
  </si>
  <si>
    <t>Cendres et Métaux SA</t>
  </si>
  <si>
    <t>Chimet</t>
  </si>
  <si>
    <t>Heraeus Precious Metals GmbH &amp; Co. KG</t>
  </si>
  <si>
    <t>Heraeus Ltd Hong Kong</t>
  </si>
  <si>
    <t>Qiankun Gold and Silver</t>
  </si>
  <si>
    <t>Ishifuku Metal Industry Co., Ltd.</t>
  </si>
  <si>
    <t>Ishifuku Tokyo Melters</t>
  </si>
  <si>
    <t>Japanese Mint Osaka</t>
  </si>
  <si>
    <t>JCC</t>
  </si>
  <si>
    <t>Johnson Matthey Limited</t>
  </si>
  <si>
    <t>Ekaterinburg</t>
  </si>
  <si>
    <t>JX Nippon Mining &amp; Metals Co., Ltd</t>
  </si>
  <si>
    <t>L' azurde</t>
  </si>
  <si>
    <t>LS-Nikko Copper Inc</t>
  </si>
  <si>
    <t>Materion Advanced Metals</t>
  </si>
  <si>
    <t>Matsuda Sangyo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</si>
  <si>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</si>
  <si>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</si>
  <si>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</si>
  <si>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</si>
  <si>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</si>
  <si>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</si>
  <si>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</si>
  <si>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PAMP SA SWITZERLAND</t>
  </si>
  <si>
    <t>AGR Matthey,Perth Mint (Western Australia Mint),The Perth Mint,Western Australian Mint</t>
  </si>
  <si>
    <t>Prioksky</t>
  </si>
  <si>
    <t>PT Aneka Tambang (Persero) Tbk</t>
  </si>
  <si>
    <t>Rand Refinery (Pty) Ltd</t>
  </si>
  <si>
    <t>Rand Refinery,Rand Refinery Limited</t>
  </si>
  <si>
    <t>Umicore Feingold</t>
  </si>
  <si>
    <t>The Refinery of Shandong Gold Mining Co., Ltd</t>
  </si>
  <si>
    <t>Shandong Gold Mining (Laizhou),China's Shangdong Gold Mining Co.,Ltd</t>
  </si>
  <si>
    <t>Shandong Zhaojin Gold &amp; Silver Refinery Co.,  Ltd</t>
  </si>
  <si>
    <t>Shyolkovsky</t>
  </si>
  <si>
    <t>Solar Applied Materials Taiwan</t>
  </si>
  <si>
    <t>Sumitomo Metal Mining Co., Ltd.</t>
  </si>
  <si>
    <t>Sumitomo,Toyo Smelter &amp; Refinery,SMM</t>
  </si>
  <si>
    <t>Tanaka Kikinzoku Kogyo K.K.</t>
  </si>
  <si>
    <t>Tanaka,TANAKA TOKYO MELTERS,Tanaka Denshi Kogyo,TANAKA DENSHI KOGYO K.K,TANAKA ELECTRONICS (HANGZHOU)CO.LTD,TANAKA ELECTRONICS SINGAPORE PTE LTD,Tanaka Holdings Co.Ltd.,Tanaka Kikinnzoku Kogyo K.K.,Tanaka Kikinzoku Group,Tanaka Kikinzoku Hanbai K.K.,Tanaka Kikinzoku Kogyo K.K. Japan.,Tanaka Kikinzoku Kogyo k.k. syonan koujyo,Tanaka Kinzoku international Co.Ltd Taipei branch</t>
  </si>
  <si>
    <t>Great Wall Gold &amp; Silver Refinery</t>
  </si>
  <si>
    <t>Tokuriki Tokyo Melters Assayers</t>
  </si>
  <si>
    <t>リストやツールへのアクセス及びその利用を考慮して、ユーザーはここに、(a) EICC及びGeSI、ならびにその役員、理事、代理人、被雇用者、任意行為者、代表者、契約者、継承者、譲受人に対し、リストやツールによる、もしくはそれらを利用したことによる、又はそこから生じたり、生じた可能性がある、あるいはユーザーがEICC及びGeSI、ならびにその役員、理事、代理人、被雇用者、任意行為者、代表者、契約者、継承者、譲受人に対してそのように主張する、いかなる請求、訴訟、損失、請願、損害、判決、押収、強制執行についても一切の責任を問わず、(b) EICC及びGeSI、ならびにその役員、理事、代理人、被雇用者、任意行為者、代表者、契約者、継承者、譲受人に対し、リスト又はツールによる、もしくはそれらを利用したことによる、いかなる請求、訴訟、損失、請願、損害、判決、押収、強制執行に関しても免責の保証を与え、擁護し、責任を免除することに同意するものとします。</t>
  </si>
  <si>
    <t xml:space="preserve">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면책하며, (b) 리스트나 툴로부터 또는 이의 사용으로부터 생기거나 발생한 모든 청구, 조치, 손실, 소송, 손해 배상, 판결, 부가금, 그리고 이행에 대해 EICC와 GeSI 뿐만 아니라 각각의 임원, 이사, 대리인, 직원, 자원 봉사자, 대표자, 계약자, 승계인, 양수인을 배상하고 방어하며, 해가 미치지 않도록 하는 데 동의합니다.  </t>
  </si>
  <si>
    <r>
      <t>Compte tenu de l'accès et de l'utilisation de la Liste et/ou d'un Outil, l'Utilisateur accepte par là présente de (a) libérer et pour toujours décharger l'EICC et la GeSI, ainsi que respectivement leur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assigne résultant ou émanant de la Liste ou d'un Outil ou de l'utilisation de ceux-ci, et (b) indemnise, défend et décharge de la responsabilité l'EICC et la GeSI,  ainsi que leurs respectifs officiers, directeurs, agents, employés, volontaires, représentants, sous-traitants, successeurs, et cède,de chacun(e) et tou(te)s les revendications, actions, pertes, proc</t>
    </r>
    <r>
      <rPr>
        <sz val="10"/>
        <rFont val="Calibri"/>
        <family val="2"/>
      </rPr>
      <t>è</t>
    </r>
    <r>
      <rPr>
        <sz val="10"/>
        <rFont val="Arial"/>
        <family val="2"/>
      </rPr>
      <t>s, dommages et interêts, jugements, impôts, et exécutions, résultant ou émanant de la Liste ou d'un Outil ou de l'utilisation de ceux-ci</t>
    </r>
  </si>
  <si>
    <t>4USA001</t>
  </si>
  <si>
    <t>4CHN002</t>
  </si>
  <si>
    <t>4CHN003</t>
  </si>
  <si>
    <t>4CHN004</t>
  </si>
  <si>
    <t>4CHN005</t>
  </si>
  <si>
    <t>4CHN006</t>
  </si>
  <si>
    <t>4USA007</t>
  </si>
  <si>
    <t>4DEU008</t>
  </si>
  <si>
    <t>4CHN009</t>
  </si>
  <si>
    <t>4CHN010</t>
  </si>
  <si>
    <t>4CHN011</t>
  </si>
  <si>
    <t>4AUT012</t>
  </si>
  <si>
    <t>4RUS013</t>
  </si>
  <si>
    <t>4CHN014</t>
  </si>
  <si>
    <t>Navoi,NMMC</t>
  </si>
  <si>
    <t>Heraeus Germany,Heraeus Hanau,Heraeus Materials Technology GMBH&amp;CO.KG,W.C. Heraeus GmbH</t>
  </si>
  <si>
    <t xml:space="preserve">Als Gegenleistung für den Zugang und die Nutzung der Liste und / oder einem beliebigen Werkzeug willigt der Nutzer hiermit zu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(b) EICC und GeSI, sowie ihre jeweiligen Führungskräfte, Direktoren, Vertreter, Mitarbeiter, Freiwillige, Vertreter, Auftragnehmer, Nachfolgern und Bevollmächtigten, von jeglichen Ansprüchen, Klagen, Verluste, Schäden , Urteile, Abgaben und Ausführungen, die sich aus der Nutzung der Liste oder eines Werkzeugs ergeben, entschädigen, verteidigen und schadlos halten.
</t>
  </si>
  <si>
    <t>如果此条款及细则的某个条款部分在法律下无效或不可执行，被视为无效的部分应仅限于该无效或不能强制执行的部份，这将不以任何方式影响到条款及细则的其余条款。</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</si>
  <si>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</si>
  <si>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</si>
  <si>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r>
      <t>Si toute ou partie des dispositions de ces Conditions Générales est invalide ou inapplicable en vertue du fdroit en vigueur, cette m</t>
    </r>
    <r>
      <rPr>
        <sz val="10"/>
        <rFont val="Calibri"/>
        <family val="2"/>
      </rPr>
      <t>ê</t>
    </r>
    <r>
      <rPr>
        <sz val="10"/>
        <rFont val="Arial"/>
        <family val="2"/>
      </rPr>
      <t>me partie sera jugée comme sans effet dans la limite de cette invalidité ou inapplicabilité uniquement, sans affecter d'aucune fa</t>
    </r>
    <r>
      <rPr>
        <sz val="10"/>
        <rFont val="Calibri"/>
        <family val="2"/>
      </rPr>
      <t>ç</t>
    </r>
    <r>
      <rPr>
        <sz val="10"/>
        <rFont val="Arial"/>
        <family val="2"/>
      </rPr>
      <t xml:space="preserve">on les parties restantes de la dite disposition ou les autres dispositions de ces Conditions Générales </t>
    </r>
  </si>
  <si>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</si>
  <si>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</si>
  <si>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</si>
  <si>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</si>
  <si>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En accédant et en utilisant cette Liste ou l'un des Outils, et en contrepartie de ceux-ci, l'Utilisateur accepte les faits precités</t>
  </si>
  <si>
    <t>Ao acessar e utilizar a Lista ou qualquer Ferramenta, e após a análise da mesmas, o Usuário concorda com os termos que as precede.</t>
  </si>
  <si>
    <t xml:space="preserve">Beim Bearbeiten und der Benutzung der Liste oder eines jeglichen Werkzeuges und der Beachtung dessen, stimmt der Anwender dem vorhergehenden zu. </t>
  </si>
  <si>
    <t>French</t>
  </si>
  <si>
    <t>Portugese</t>
  </si>
  <si>
    <t>German</t>
  </si>
  <si>
    <t>© 2011 电子行业公民联盟，和全球电子可持续性倡议。保留所有权利。</t>
  </si>
  <si>
    <t>© 2011 Electronic Industry Citizenship Coalition, Incorporated and Global e-Sustainability Initiative. Tous droits réservés</t>
  </si>
  <si>
    <t>© 2011 Electronic Industry Citizenship Coalition, Incorporated and Global e-Sustainability Initiative. Todos os Direitos Reservados.</t>
  </si>
  <si>
    <t>ITEM</t>
    <phoneticPr fontId="0" type="noConversion"/>
  </si>
  <si>
    <t>Item</t>
  </si>
  <si>
    <t>ITEM</t>
  </si>
  <si>
    <t>Posten</t>
  </si>
  <si>
    <t>毗邻的国家</t>
  </si>
  <si>
    <t>인접국가 Adjoining Country</t>
  </si>
  <si>
    <t>Pays frontalier</t>
  </si>
  <si>
    <t>Pais Adjacente</t>
  </si>
  <si>
    <t>Angrenzendes Land</t>
  </si>
  <si>
    <t>无冲突冶炼厂评估计划标准清单</t>
  </si>
  <si>
    <t>CFS適合製錬業者リスト
CFS Compliant Smelter List</t>
  </si>
  <si>
    <t>Liste des fonderies en règle avec le Programme CFS (CFS Compliant List)</t>
  </si>
  <si>
    <t>FLC Conforme Lista de Fundições</t>
  </si>
  <si>
    <t>CFS Compliant Smelter Liste</t>
  </si>
  <si>
    <t>无冲突冶炼厂评估项目</t>
  </si>
  <si>
    <t>Programme CFS</t>
  </si>
  <si>
    <t xml:space="preserve">Programa FLC </t>
  </si>
  <si>
    <t>CFS Programm</t>
  </si>
  <si>
    <t>矿产冲突</t>
  </si>
  <si>
    <t>Minerai de conflit</t>
  </si>
  <si>
    <t>Mineral de Conflito</t>
  </si>
  <si>
    <t>申报范围</t>
  </si>
  <si>
    <t>申告範囲</t>
  </si>
  <si>
    <t>선언범위 Declaration Scope</t>
  </si>
  <si>
    <t>Périmètre de la Déclaration</t>
  </si>
  <si>
    <t>Declaração de Escopo</t>
  </si>
  <si>
    <t>Erklärungsbereich</t>
  </si>
  <si>
    <t>分部</t>
  </si>
  <si>
    <t>部門</t>
  </si>
  <si>
    <t>계열회사 또는 부서  Division</t>
  </si>
  <si>
    <t>Divisão</t>
  </si>
  <si>
    <t>Abteilung</t>
  </si>
  <si>
    <t>多德-弗兰克</t>
  </si>
  <si>
    <t>ドッド・フランク金融規制改革及び消費者保護法
Dodd-Frank</t>
  </si>
  <si>
    <t>コンゴ民主共和国（DRC）</t>
  </si>
  <si>
    <t xml:space="preserve">"Angrenzendes Land" ist ein Land das eine international anerkannte Grenze mit der Demokratischen Republik Kongo teilt. </t>
  </si>
  <si>
    <t>无冲突冶炼厂评估计划标准清单是一份 已经过独立审核，并确定符合无冲突冶炼厂评估协议的冶炼厂清单。
该列表和协议可从这里得到: http://www.conflictfreesmelt.org/)</t>
  </si>
  <si>
    <t>コンフリクトフリー製錬業者プログラム適合リストとは、外部監査を受け、CFS規程に準拠していると判断された製錬業者のリストである。</t>
  </si>
  <si>
    <t>Update to functionality, known smelter list, added declaration scope including product tab, and changed required fields</t>
  </si>
  <si>
    <t>Eine Hütte ist ein Unternehmen, beschafft und Prozesse Erz, Schlacke und / oder Recycling-Materialien und Schrott in raffinierten Metall oder Metall enthalten, Zwischenprodukte. Der Ausgang kann reines (99,5% oder mehr) von Metallen, Pulvern, Barren, Stangen, Getreide, Oxide oder Salze sein.</t>
  </si>
  <si>
    <t>이용 약관</t>
  </si>
  <si>
    <t>Se qualquer parte de qualquer disposição destes Termos e Condições será inválida ou inexeqüível pela legislação aplicável, disse que parte deve ser considerada ineficaz, na medida de tal invalidade ou inexeqüibilidade só, sem de forma alguma afetar as partes restantes da referida prestação ou o restante disposições destes Termos e Condições.</t>
  </si>
  <si>
    <t>1) 公司的产品制造或合同(外包的产品)制造中，下列金属对贵司产品的功能或生产是否有必要作用？如果都没有使用下列金属，你已经完成了此项调查。(*)</t>
  </si>
  <si>
    <t>６）以下の金属について、御社及び御社のサプライヤーが使用するすべての製錬業者は、コンフリクトフリー製錬業者（CFS）プログラムに適合し、適合製錬業者リストに記載されていますか？(*)</t>
  </si>
  <si>
    <t>3) Les métaux suivants (nécessaires au fonctionnement ou à la fabrication des produits de votre entreprise) proviennent-ils d'un fournisseur utilisant des scories ou des éléments recyclés? (*)</t>
  </si>
  <si>
    <r>
      <t xml:space="preserve">2) Les métaux suivants (nécessaires au fonctionnement ou </t>
    </r>
    <r>
      <rPr>
        <sz val="10"/>
        <color indexed="8"/>
        <rFont val="Calibri"/>
        <family val="2"/>
      </rPr>
      <t>à</t>
    </r>
    <r>
      <rPr>
        <sz val="10"/>
        <rFont val="Verdana"/>
        <family val="2"/>
      </rPr>
      <t xml:space="preserve"> la fabrication des produits de votre entreprise) proviennent-ils de la République Démocratique du Congo ou d'un pays frontalier? (*)</t>
    </r>
  </si>
  <si>
    <t>Revision 2 Aug. 29th 2012</t>
  </si>
  <si>
    <t>Declaration Scope B &amp; C</t>
  </si>
  <si>
    <t>Declaration Scope D</t>
  </si>
  <si>
    <t># of required fields added if product level declaration is selected</t>
  </si>
  <si>
    <t>Starck,Stark</t>
  </si>
  <si>
    <t>Starck</t>
  </si>
  <si>
    <t>Stark</t>
  </si>
  <si>
    <t xml:space="preserve">5) 针对下列每一种在上述申报范围内的金属，您是否已确认贵公司和其供应商所使用的冶炼厂？(*) </t>
  </si>
  <si>
    <t>선언범위가 "명시한 제품"에만 적용될 시 완성 필요</t>
  </si>
  <si>
    <t>Einträge in dieser Tabelle sind nur erforderlich, wenn Sie im als Erklärungsbereich die Auswahl 'Produkt Level' getroffen haben</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</si>
  <si>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</si>
  <si>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</si>
  <si>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</si>
  <si>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</si>
  <si>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</si>
  <si>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</si>
  <si>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</si>
  <si>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Schmelzhütten-Ansprechpartner: Email</t>
  </si>
  <si>
    <t>Name des/der Bergwerke(s) oder, falls aus Recycling oder Schrott, tragen sie "recycled" oder "scrap" ein</t>
  </si>
  <si>
    <t>Standort (Land) des/der Bergwerke(s) oder, falls aus Recycling oder Schrott, tragen Sie "recycled" oder "scrap" ein</t>
  </si>
  <si>
    <t>Link zur "CFS Compliant Smelter"- Liste</t>
  </si>
  <si>
    <t xml:space="preserve">Beginnen sie mit:
Schritt 1: Auswahl des Metalls in Spalte B
Schritt 2: Auswahl aus Dropdown-Menü in Spalte C
Schritt 3: Falls Ihre Auswahl aus dem Dropdown-Menü "Schmelzhütte nicht gelistet" ist,  füllen Sie Spalten D &amp; E aus
Schritt 4: Geben Sie alle verfügbaren Schmelzhütten-Informationen in den Spalten F bis N an
</t>
  </si>
  <si>
    <t>Konfliktmineralien-Fragebogen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</si>
  <si>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</si>
  <si>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</si>
  <si>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</si>
  <si>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Firmenidentifikationsnummer:</t>
  </si>
  <si>
    <t>Datum der Fertigstellung (*):</t>
  </si>
  <si>
    <t>Beantworten Sie folgende Fragen 1 - 6 basierend auf dem oben angegebenen Erklärungsbereich</t>
  </si>
  <si>
    <t>1) Sind folgende Metalle notwendig für die Funktionalität oder die Herstellung der Produkte die Ihre Firma herstellt oder herstellen lässt? Falls die Antwort für alle Metalle "nein" ist, sind sie mit dem Fragebogen fertig. (*)</t>
  </si>
  <si>
    <t>2) Entstammen folgende Metalle (die notwendig für die Funktionalität oder die Herstellung der Produkte Ihrer Firma sind) ursprünglich der DRC oder einem angrenzenden Land? (*)</t>
  </si>
  <si>
    <t>3) Kommen die folgenden Metalle (die notwendig für die Funktionalität oder die Herstellung der Produkte Ihrer Firma sind) aus Recycling- oder Schrott- Bezugsquellen? (*)</t>
  </si>
  <si>
    <t>4) Haben Sie von sämtlichen Ihrer Lieferanten vollständig ausgefüllte Konfliktmineralien-Fragebögen erhalten? (*)</t>
  </si>
  <si>
    <t>E. Merci de répondre par "Oui" ou par "Non". Les exemples de mesures de due diligence peuvent inclure : communiquer vos attentes auprès des fournisseurs concernant les minerais sans conflit et les incorporer dans les contrats (si possible) ; identifier et évaluer les risques dans votre chaine d’approvisionnement ; concevoir et mettre en œuvre une stratégie relative aux risques identifiés ; vérifier que la politique de minerais sans conflit de vos fournisseurs directs est en conformité avec la votre, etc. Ces exemples de mesures de l’exercice du Devoir de Diligence sont en adéquation avec celles reconnues par un standard de l’industrie comme le Guide de l’OECD</t>
  </si>
  <si>
    <t>A country that shares an internationally recognized border with the Democratic Republic of Congo is considered an “adjoining country”.</t>
  </si>
  <si>
    <t xml:space="preserve">Un refinador de Tungsteno (W) se define como una compañia que convierte el mineral de W (wolframita and scheelita), concentrados de W, o materiales secundarios de W para  convertirlos a materiales intermedios de W tales como Amonio de Para-Tungsteno (APT), Meta-Tungsteno de Amonio (AMT), ferrotungsteno, y oxidos de Tungsteno. La produccion de  APT es una capacidad tipica que identifica a un fundidor de Tungsteno..  </t>
  </si>
  <si>
    <t>Das Konflikt-Freie Schmelzhütten (CFS) Programm wurde von EICC und GeSI entwickelt um Firmen zu helfen die verantwortliche Beschaffung von Metallen weiter zu entwickeln. Weitere Details des CFS Programms sind hier verfügbar:  (http://www.conflictfreesmelter.org/)</t>
  </si>
  <si>
    <t>Tungstène (W) (*)</t>
  </si>
  <si>
    <t>선언범위 (*):</t>
  </si>
  <si>
    <t>담당자 직위:</t>
  </si>
  <si>
    <t>완료일 (*):</t>
  </si>
  <si>
    <t>Numéro d'Identification Unique de l'entreprise:</t>
  </si>
  <si>
    <t>Nom du représentant légal de l'entreprise (*):</t>
  </si>
  <si>
    <t>Titre du représentant légal:</t>
  </si>
  <si>
    <t>Adresse email du représentant légal (*):</t>
  </si>
  <si>
    <t>Numéro de téléphone du représentant légal:</t>
  </si>
  <si>
    <t>Date d'achèvement (*):</t>
  </si>
  <si>
    <t>Endereço:</t>
  </si>
  <si>
    <t>A. Gibt es in Ihrer Firma Vorschriften zur DRC-konflikt-freiem Einkauf? (*)</t>
  </si>
  <si>
    <t>B. Sind diese Vorschriften öffentlich auf Ihrer Firmen-Webseite verfügbar? (*)</t>
  </si>
  <si>
    <t>C. Fordern Sie "DRC-konfliktfrei"- Erklärungen von Ihren direkten Lieferanten? (*)</t>
  </si>
  <si>
    <t>D. Verpflichten Sie Ihre direkten Lieferanten dazu, von solchen Schmelzhütten einzukaufen,  die nach den Vorgaben des CFS Programms validiert worden und in der „CFS Compliant Smelter“- Liste aufgeführt sind? (*)</t>
  </si>
  <si>
    <t>E. Haben Sie Due Diligence- Maßnahmen für konfliktfreie Beschaffung eingeführt? (*)</t>
  </si>
  <si>
    <t xml:space="preserve">F. Verlangen Sie von Ihren Lieferanten, den vorliegenden Konfliktmineralien-Fragebogen auszufüllen? (*) </t>
  </si>
  <si>
    <t>G. Erfragen Sie von Ihren Lieferanten die Namen der Schmelzhütten, die diese verwenden ? (*)</t>
  </si>
  <si>
    <t>H. Überprüfen Sie die Korrektheit der Due Diligence Informationen, die Sie von ihren Lieferanten erhalten? (*)</t>
  </si>
  <si>
    <t>I. Beinhaltet Ihr Überprüfungsprozess ein Korrekturmaßnahmen-Programm? (*)</t>
  </si>
  <si>
    <t>J. Unterliegt Ihre Firma den Offenlegungspflichten der SEC im Bezug auf Konfliktmineralien? (*)</t>
  </si>
  <si>
    <t>Kommentare und Anlagen</t>
  </si>
  <si>
    <t>Konfliktmineral</t>
  </si>
  <si>
    <t>Législation 2010 des Etats-Unis d'Amérique, Réforme Dodd-Frank Wall Street et Consumer Protection Act, Section 1502 ("Dodd-Frank")
(http://www.sec.gov/about/laws/wallstreetreform-cpa.pdf)</t>
  </si>
  <si>
    <t>A legislação norte-americana de 2010, Dodd-Frank Reforma de Wall Street e Defesa do Consumidor Decretot, Seção 1502 ("Dodd-Frank") (http://www.sec.gov/about/laws/wallstreetreform-cpa.pdf)</t>
  </si>
  <si>
    <t>2010 US Gesetzgebung, Dodd-Frank-Walls Street Reform and Consumer Protection Art, Section 1502 ("Dodd-Frank") (http://www.sec.gov/about/laws/wallstreetreform-cpa.pdf)</t>
  </si>
  <si>
    <t>Democratic Republic of Congo</t>
    <phoneticPr fontId="0" type="noConversion"/>
  </si>
  <si>
    <t>콩고민주공화국</t>
  </si>
  <si>
    <t>République Démocratique du Congo</t>
  </si>
  <si>
    <t>República Democrática do Congo</t>
  </si>
  <si>
    <t>Demokratische Republik Kongo</t>
  </si>
  <si>
    <t>被定义为不含冲突矿产的产品并且不直接或间接融资给刚果民主共和国或相邻国家的武装部队。资料来源：2010年美国的立法，多德-弗兰克华尔街改革和消费者保护法,第1502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</si>
  <si>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金融規制改革及び消費者保護法「ドッド・フランク法」）1502条 （http://www.sec.gov/about/laws/wallstreetreform-cpa.pdf）</t>
  </si>
  <si>
    <t>콩고민주공화국이나 인접국가의 무장단체에게 직접 또는 간접적인 이익을 제공한 광물을 사용하지 않은 제품
참조: 2010년 미국 제정법, 도드프랭크 금융 개혁 및 소비자 보호를 위한 법률, 1502조 ("Dodd-Frank”) http://www.sec.gov/about/laws/wallstreetreform-cpa.pdf</t>
  </si>
  <si>
    <t>est défini comme signifiant les produits ne contenant pas de minerais finançant ou bénéficiant directement ou indirectement à des groupes armés de la République Démocratique du Congo ou de pays frontaliers. Source: 2010 United States legislation, Dodd-Frank wall Street Reform and Consumer Protection Act, Section 1502
(http://www.sec.gov/about/laws/wallstreetreform-cpa.pdf)</t>
  </si>
  <si>
    <t>Entende-se dos produtos que não contêm minerais que, direta ou indiretamente, financiam ou beneficiam grupos armados na República Democrática do Congo ou um país adjacente (fronteiriço ou vizinho). Fonte: 2010 Estados Unidos legislação, Decreto deDodd-Frank,  Reforma Wall Street Defesa do Consumidor, Seção 1502 (http://www.sec.gov/about/laws/wallstreetreform-cpa.pdf)</t>
  </si>
  <si>
    <t>Definiert und beschreibt die Produkte, die keine Mineralien enthalten, die direkt oder indirekt bewaffnete Gruppen in der Demokratischen Republik Kongo oder einem angrenzenden Land finanzieren oder davon profitieren. 
Quelle: 2010 United States legislation, Dodd-Frank Wall Street Reform and Consumer Protection Act, Section 1502 (http://www.sec.gov/about/laws/wallstreetreform-cpa.pdf)</t>
  </si>
  <si>
    <t>电子行业公民联盟 (www.eicc.info)</t>
  </si>
  <si>
    <t>Coalisão da Industrias de Eletroeletronicos pela Cidadania (www.eicc.info)</t>
  </si>
  <si>
    <t>全球电子可持续发展倡议 (www.gesi.org)</t>
  </si>
  <si>
    <t>Iniciativa Global de e-Sustentabilidade  (www.gesi.org)</t>
  </si>
  <si>
    <t xml:space="preserve">金提炼厂指的是一个即从黄金和含金浓度低的物料中提炼出99.5%或更高纯金浓度的冶金操作。 </t>
  </si>
  <si>
    <t>金精製業者とは、金及び純度の低い金含有物から純度99.5%以上の純金を生産する冶金業者である。</t>
  </si>
  <si>
    <t>순도가 낮은 금원석 및 금을 함유하고 있는 
물질을 순도 99.5% 이상의 순금으로 제련하는 곳을 금 제련소(Gold refiner)라고 한다.</t>
  </si>
  <si>
    <r>
      <t xml:space="preserve">Fondre de l'or est une opération métallurgique produisant de l'or fin avec une concentration de 99,5% ou plus </t>
    </r>
    <r>
      <rPr>
        <sz val="10"/>
        <rFont val="Verdana"/>
        <family val="2"/>
      </rPr>
      <t>à partir d'or ou de matériaux comprenant de l'or en concentrations plus faibles</t>
    </r>
  </si>
  <si>
    <t>Um refinador de ouro é uma operação metalúrgica que produz ouro fino com uma concentração de 99,5% ou superior a partir de ouro e materiais de  ouro-rolamento com concentrações mais baixas.</t>
  </si>
  <si>
    <t>Eine Gold-Raffinerie ist ein metallurgischer Verarbeiter, der Feingold mit einer Konzentration von 99,5% oder höher aus Gold-und goldhaltigen Materialien mit niedrigeren Konzentrationen produziert.</t>
  </si>
  <si>
    <t>Organization for Economic Co-operation and Development</t>
    <phoneticPr fontId="0" type="noConversion"/>
  </si>
  <si>
    <t>경제협력개발기구</t>
  </si>
  <si>
    <t>Organisation pour la Coopération et le Développement Economique</t>
  </si>
  <si>
    <t>Organização para a Cooperação e Desenvolvimento - OCDE</t>
  </si>
  <si>
    <t>Organisation für wirtschaftliche Zusammenarbeit und Entwicklung</t>
  </si>
  <si>
    <t>一间公司的产品或成品，是一个已完成最后生产或处理阶段的原料或物品，并且已可以分发或销售给客户。</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</si>
  <si>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</si>
  <si>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</si>
  <si>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Le produit d'une entreprise ou bien fini est un matériel ou un item qui a terminé le stade final de la fabrication et est disponible pour ditribution ou vente aux clients</t>
  </si>
  <si>
    <t>Produto de uma empresa ou produto acabado é um material ou item que foi concluída a fase final de fabricação e/ou transformação,  está disponível para distribuição ou venda a clientes.</t>
  </si>
  <si>
    <t>Das Produkt einer Firma oder die Fertigware ist ein Material oder ein Element, das die letzte Stufe der Herstellung und / oder Verarbeitung abgeschlossen hat und für den Vertrieb oder den Verkauf an den Kunden bestimmt ist.</t>
  </si>
  <si>
    <t>被受一个行业通称的一组产品(如: 电容器)</t>
  </si>
  <si>
    <t>産業界で認識されている総称によって表現することができる製品群（例：コンデンサー）。</t>
  </si>
  <si>
    <t>업계에서 통용되는 용어로 설명될 수 있는 제품군 (예 : 콘덴서)</t>
  </si>
  <si>
    <t>Un groupe de produits pouvant être décrit par un terme générique reconnu par l'industrie (ex: condensateur).</t>
  </si>
  <si>
    <t>Um grupo de produtos que podem ser descritos por uma indústria reconhecida termo genérico (ex. capacitores).</t>
  </si>
  <si>
    <t>Eine Produktgruppe, die von einer Industrie beschrieben und ein anerkannter Oberbegriff (zB Kondensatoren) ist.</t>
  </si>
  <si>
    <t>미국증권거래위원회 (www.sec.gov)</t>
  </si>
  <si>
    <t>冶炼厂指的是一间采购和处理矿石，矿渣或回收材料并且报废材料成为精致金属或含金属中介产品的公司。它的产品可包括纯(99.5%或更大)金属，金属粉末，金属锭，金属条块，晶粒，金属氧化物或金属盐类。</t>
  </si>
  <si>
    <t>製錬業者とは、鉱石、スラグ及び再生材、スクラップを、製錬金属又は金属中間生成物に加工する企業である。生産物には、純金属（純度99.5%以上）、粉末、インゴット、バー、結晶粒、酸化物又は塩等がある。</t>
  </si>
  <si>
    <t>Une fonderie est une entreprise qui fournit et traite des minerais, scories et/ou materiaux recyclés ou fragments en métaux raffinés ou métaux contenant des produits intermédiaires. Les résultats des traitements peuvent être des métaux purs (99.5% ou plus), des poudres, des lingots, des barres, des grains, des oxydes ou des sels.</t>
  </si>
  <si>
    <t>A fundição é uma empresa que adquire e processa minério mineral, escórias e / ou materiais reciclados, assim como sucata, transformando em metal refinado ou metal contendo produtos intermediários. A saída pode ser: metais puros (99,5% ou mais), pós, lingotes, barras, grãos, óxidos ou sais.</t>
  </si>
  <si>
    <t xml:space="preserve">钽冶炼厂指的是一间转换含有钽的矿石，矿渣，粉末或废料为含钽品(例如钽粉末，钽部件，氧化钽，合金，焊丝，烧结条块或类似的最终产品)或介于中间的产品(例如KTaF(也被称为钾盐),钽氢氧化物和未经提炼钽粉，合成矿石和其他钽分解物质)的公司。 </t>
  </si>
  <si>
    <t>タンタル製錬業者とは、タンタル（Ta）含有物、スラグ、粉末、スクラップから、タンタル含有製品（Ta粉末、Ta部品、Ta酸化物、合金、ワイヤー、焼結棒、もしくは類似の最終製品）、又は中間生成物（KTaF（KSaltとも言う）、Ta水酸化物、Ta未精製粉末、人工鉱石、及びその他のTa温浸材料）を生産する企業である。</t>
  </si>
  <si>
    <t>Une fonderie ou affinerie de tantale est une entreprise convertissant les minerais, scaries, poudres ou fragments/scories contenant du tantale (Ta) en produits contenant du Ta (comme les poudres de Ta, les composants de Ta, les oxydes de Ta, les alliages, câbles, barres frittées ou produits finis similaires) ou produits intermédiaires (comme le kTaF (aussi appelé KSalt), les hydroxydes de Ta et les poudres de Ta non affinées, les minerais synthétiques et les autres matériaux de digestion de Ta)</t>
  </si>
  <si>
    <t>1.Metall (*) - Benutzen Sie das Dropdown-Menü und wählen Sie das Metall für das Sie die Schmelzhütten-Informationen eingeben.</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</si>
  <si>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</si>
  <si>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</si>
  <si>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</si>
  <si>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</si>
  <si>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제련소 표준이름들  (*)</t>
  </si>
  <si>
    <t>시작방법:
절차 1.  B 칼럼에서  금속선택
절차 2.  C 칼럼 드랍다운에서 제련소선택
절차 3. 절차 2에서 "Smelter Not Listed" (제련소명 없음) 선택시, D 와 E 칼럼 기입
절차 4.  F ~ N 칼럼에 유효한 모든 제련소정보 기입</t>
  </si>
  <si>
    <t>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t>
  </si>
  <si>
    <t>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t>
  </si>
  <si>
    <t>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t>
  </si>
  <si>
    <t>8. Smelter Facility Contact Name – Fill in the name of the Smelter Facility Contact person who you worked with.</t>
  </si>
  <si>
    <t>9. Smelter Facility Contact Email – Fill in the email address of the Smelter Facility contact person who was identified in step#7.  Example: John.Smith@SmelterXXX.com</t>
  </si>
  <si>
    <t>10. Proposed next steps, if applicable – Provide the actions you will take with the smelter if the facility is not listed on the EICC-GeSI CFS list. Example: request smelter facility to be assessed through the CFS program, remove from preferred supplier list, etc.</t>
  </si>
  <si>
    <t>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t>
  </si>
  <si>
    <t>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t>
  </si>
  <si>
    <t>13. Comments – free form text field to enter any comments concerning the smelter.  Example: smelter is being acquired by Company YYY</t>
  </si>
  <si>
    <t>Campos obrigatórios estão marcados com um asterisco (*). As informações coletadas neste modelo devem ser atualizadas anualmente. Quaisquer alterações no ciclo anual devem ser fornecidas aos seus clientes.</t>
  </si>
  <si>
    <t>公司名称（*）：</t>
  </si>
  <si>
    <t>Nom de l'entreprise (*):</t>
  </si>
  <si>
    <t>Nome da Organização (*):</t>
  </si>
  <si>
    <t>Firmenname (*):</t>
  </si>
  <si>
    <t>申报范围（*）：</t>
  </si>
  <si>
    <t>申告範囲(*)：</t>
  </si>
  <si>
    <t>Périmètre de la déclaration (*):</t>
  </si>
  <si>
    <t>Declaração de Escopo (*):</t>
  </si>
  <si>
    <t>Erklärungsbereich (*):</t>
  </si>
  <si>
    <t>公司独特的识别：</t>
  </si>
  <si>
    <t>Código de Indentificação da Empresa (CNPJ):</t>
  </si>
  <si>
    <t>地址：</t>
  </si>
  <si>
    <t>Adresse:</t>
  </si>
  <si>
    <t>公司授权代表人名字（*）：</t>
  </si>
  <si>
    <t>会社代表者名(*)：</t>
  </si>
  <si>
    <t>담당자 (*):</t>
  </si>
  <si>
    <t xml:space="preserve">Nome de Representante Autorizado (*): </t>
  </si>
  <si>
    <t>Name des bevollmächtigten Firmenvertreters (*):</t>
  </si>
  <si>
    <t>授权代表人职称：</t>
  </si>
  <si>
    <t>Cargo do Representante:</t>
  </si>
  <si>
    <t>Titel des Firmenvertreters:</t>
  </si>
  <si>
    <t>授权代表人电子邮件（*）：</t>
  </si>
  <si>
    <t>Email do representante (*):</t>
  </si>
  <si>
    <t>Email des Firmenvertreters (*):</t>
  </si>
  <si>
    <t>授权代表人电话：</t>
  </si>
  <si>
    <t>Telefone de Contato do Representante:</t>
  </si>
  <si>
    <t>Telefonnummer des Firmenvertreters:</t>
  </si>
  <si>
    <t>完成日期（*）：</t>
  </si>
  <si>
    <t>Data de Finalização (*):</t>
  </si>
  <si>
    <t xml:space="preserve">基于以上所述的申报范围,回答下列的问题1-6。 </t>
  </si>
  <si>
    <t>上記の申告範囲にもとづいて、以下の1～6の質問にお答えください</t>
  </si>
  <si>
    <t>위에 명시한 선언범위를 바탕으로 다음 1~6번 질문에 답하시오.</t>
  </si>
  <si>
    <r>
      <t xml:space="preserve">Répondre aux questions suivantes 1 </t>
    </r>
    <r>
      <rPr>
        <sz val="10"/>
        <color indexed="8"/>
        <rFont val="Calibri"/>
        <family val="2"/>
      </rPr>
      <t>à</t>
    </r>
    <r>
      <rPr>
        <sz val="10"/>
        <rFont val="Verdana"/>
        <family val="2"/>
      </rPr>
      <t xml:space="preserve"> 6 en fonction du périmètre de la déclaration indiqué ci-dessus</t>
    </r>
  </si>
  <si>
    <t>Responda às seguintes perguntas de 1 - 6 com base na declaração de escopo indicada acima.</t>
  </si>
  <si>
    <r>
      <t xml:space="preserve">1) L'un des métaux suivants est-il necessaire au fonctionnement ou </t>
    </r>
    <r>
      <rPr>
        <sz val="10"/>
        <color indexed="8"/>
        <rFont val="Calibri"/>
        <family val="2"/>
      </rPr>
      <t>à</t>
    </r>
    <r>
      <rPr>
        <sz val="10"/>
        <rFont val="Verdana"/>
        <family val="2"/>
      </rPr>
      <t xml:space="preserve"> la fabrication de produits que votre entreprise manufacure ou dont elle sous-traite la fabrication? Si Non pour tous les métaux, vous en avez terminé avec cette etude (*)</t>
    </r>
  </si>
  <si>
    <t>1) Algum dos seguintes metais são necessários para a funcionalidade ou a produção dos produtos de sua organização ou das empresa(s) que fabrica(m) ou contrato(s) para a fabricação? Se "não" for a resposta para todos os metais, esta concluída esta pesquisa. (*)</t>
  </si>
  <si>
    <t>2) 下列金属（对贵司产品的功能或生产有必要作用）是否来自刚果民主共和国或其相邻的国家？(*)</t>
  </si>
  <si>
    <t>2) 1)의 질문에서 답한 금속 중 콩고민주공화국이나 인접 국가가 원산지인 금속이 있습니까? (*)</t>
  </si>
  <si>
    <t>2) Qual (is) dos seguintes metais (é (ou são) necessário(s) para a funcionalidade ou a produção de sua empresa) e são oriundos da RDC ou um país adjacente? (*)</t>
  </si>
  <si>
    <t>Extraits du site Internet : (www.eicc.info/extractives.htm) 
Formation, modèles, FAQs, liste des Conflict-Free Smelters (CFS - fonderies certifiant l’origine et la traçabilité des métaux provenant de zones de conflit ou à haut risque)</t>
  </si>
  <si>
    <t>EICC Minérios website:  (www.eicc.info/extractives.htm)
treinamento, solicitação de modelos, Perguntas Frequentes (FAQ´s, Lista de Fundições Livre de Conflitos de Minerais  (FLC)</t>
  </si>
  <si>
    <t>소개</t>
  </si>
  <si>
    <t>Introdução</t>
  </si>
  <si>
    <t>Einführung</t>
  </si>
  <si>
    <t>此EICC-GeSI冲突矿产报告模板是由电子行业公民联盟(EICC)及全球电子可持续发展倡议组织（GeSI）所制定的,以便作为收集有关“冲突矿产“采购信息的通用工具。公司可以采用该模板作为他们尽职调查程序的一个元素，用来验证在采购材料的职责和支持遵守新法例规。此模板与EICC及GeSI的相关活动是一致的，当中包括无冲突冶炼厂计划。</t>
  </si>
  <si>
    <t>EICC-GeSI紛争鉱物報告テンプレートは、「紛争鉱物」に関する調達情報収集の共通ツールとして Electronic Industry Citizenship Coalition®（EICC®）及び Global e-Sustainability Initiative（GeSI）が作成しました。電子産業界を始めすべての産業界の各企業は、責任のある資材調達方法を検証し、新しい法律※への準拠をサポートする、デューデリジェンス・プログラムの一部として、このテンプレートを採用することができます。このテンプレートはコンフリクトフリー製錬業者（CFS）プログラム※※を含むEICC及びGeSIの関連活動に沿ったものとなっています。</t>
  </si>
  <si>
    <t>3) 下列金属（对贵司产品的功能或生产有必要作用）是否来自回收或报废材料再造商？(*)</t>
  </si>
  <si>
    <t>3) 1)의 질문에서 답한 금속 중 재활용 이나 스크랩된 금속을 판매하는 업체로부터 구매한 것이 있습니까?(*)</t>
  </si>
  <si>
    <t>2) Qual (is) dos seguintes metais é (ou são) necessário(s) para a funcionalidade ou a produção de sua empresa) e são oriundos de fornecedores de reciclagem ou de sucata? (*)</t>
  </si>
  <si>
    <t>4) 您是否已经从您所有的供应商收到完成的矿产冲突模板？(*)</t>
  </si>
  <si>
    <t>４）全サプライヤーから記入済みの紛争鉱物報告テンプレートを受け取っていますか？(*)</t>
  </si>
  <si>
    <r>
      <t>4) Avez-vous re</t>
    </r>
    <r>
      <rPr>
        <sz val="10"/>
        <color indexed="8"/>
        <rFont val="Calibri"/>
        <family val="2"/>
      </rPr>
      <t>ç</t>
    </r>
    <r>
      <rPr>
        <sz val="10"/>
        <rFont val="Verdana"/>
        <family val="2"/>
      </rPr>
      <t>u des formulaires de rapport sur les minerais de conflit complétés de la part de tous vos fournisseurs ? (*)</t>
    </r>
  </si>
  <si>
    <t>4) Você já recebeu Relatórios completos acerca dos Minerais Conflito de todos os seus fornecedores? (*)</t>
  </si>
  <si>
    <t>５）御社及び御社のサプライヤーが、上記の申告範囲に含まれる製品を供給するために使用する以下の各金属について、その供給元である製錬業者をすべて特定しましたか？(*)</t>
  </si>
  <si>
    <t>5)  각 광물에 대해 귀사와 귀사의 협력사는 위에 명시한 선언범위 제품에 사용되는 금속을 공급하는 모든 제련소를 파악하고 있습니까? (*)</t>
  </si>
  <si>
    <r>
      <t>5) Pour chacun des métaux suivants, avez-vous identifié toutes les fonderies que votre entreprise ou vos fournisseurs utilisent afin de se fournir les produits inclus dans le périm</t>
    </r>
    <r>
      <rPr>
        <sz val="10"/>
        <color indexed="8"/>
        <rFont val="Calibri"/>
        <family val="2"/>
      </rPr>
      <t>è</t>
    </r>
    <r>
      <rPr>
        <sz val="10"/>
        <rFont val="Verdana"/>
        <family val="2"/>
      </rPr>
      <t>tre de la déclaration spécifié ci-dessus ?  (*)</t>
    </r>
  </si>
  <si>
    <t>5) Para cada um dos seguintes metais, você já identificou todas as fundições que sua empresa e/ou seus fornecedores usam para fornecer os produtos incluídos no escopo declaração mencionada acima? (*)</t>
  </si>
  <si>
    <t>6）所有贵公司和其供应商所使用的冶炼厂是否已被验证为符合无矿产冲突冶炼厂计划的标准，并且被列在符合冶炼厂名单当中？ (*)</t>
  </si>
  <si>
    <r>
      <t>6) Toutes les fonderies utilisées par votre entreprise et vos fournisseurs ont-elles été validées comme étant en r</t>
    </r>
    <r>
      <rPr>
        <sz val="10"/>
        <color indexed="8"/>
        <rFont val="Calibri"/>
        <family val="2"/>
      </rPr>
      <t>è</t>
    </r>
    <r>
      <rPr>
        <sz val="10"/>
        <rFont val="Verdana"/>
        <family val="2"/>
      </rPr>
      <t>gle avec le Programme Conflict-Free Smelter et incluses dans la liste des des fonderies en règle pour les métaux suivants ? (*)</t>
    </r>
  </si>
  <si>
    <t>6)Todas as fundição (ões) utilizada (as) por sua empresa e por seu(s) fornecedores foi validada(s) como compatível, em conformidade com o Progrma de Fundições Livres de Conflitos (FLC) e listada(s)na Lista de Fundição(ões) em Conformidade para os metais mencionados? (*)</t>
  </si>
  <si>
    <t>A. 귀사는 분쟁기여광물 사용 금지를 위한 구매 관련 정책이 있습니까? (*)</t>
  </si>
  <si>
    <t>A. Avez-vous une politique en place incluant l'approvisionnement Sans Conflit en provenance de la RDC ? (*)</t>
  </si>
  <si>
    <t>A. Há uma política implementada, que inclui fornecedores livre de Conflitos da RDC? (*)</t>
  </si>
  <si>
    <t>B. 관련 정책을 홈페이지에서 확인할 수 있습니까?  (*)</t>
  </si>
  <si>
    <t>B. Cette politique est-elle publiquement disponible sur le site Internet de votre entreprise ? (*)</t>
  </si>
  <si>
    <t>B. Esta Política está disponível no site de sua organização? (*)</t>
  </si>
  <si>
    <t>C. Exigez-vous que vous fournisseurs directs soient certifiés RDC Sans Conflit ? (*)</t>
  </si>
  <si>
    <t>C. Sua organização requer de seus fornecedores diretos que os mesmos estejam em conformidade com RDC Livre de Conflitos? (*)</t>
  </si>
  <si>
    <t xml:space="preserve">Ce formulaire de rapport sur les minerais de conflit a été créé par l’Electronic Industry Citizenship Coalition (EICC®) et le Global e-Sustainability Initiative (GeSI) comme un moyen commun pour collecter des informations sur l’approvisionnement en métaux et minerais provenant des zones de conflit ou à haut risque.
Ce rapport peut être utilisé par les entreprises spécialisées dans l'électronique ou dans toute autre industrie comme un élément de leur programme de due diligence (Devoir de diligence) afin de vérifier l’approvisionnement responsable en matériaux et de supporter l’obligation de conformité avec la nouvelle législation en vigueur*.  Ce modèle est en adéquation avec les activités de l’EICC et le GeSI liées à la provenance des métaux et minerais de zones de conflit ou à haut risque, y compris le programme CFS**. 
</t>
  </si>
  <si>
    <r>
      <t xml:space="preserve">Este Modelo do EICC-GeSI de Relatório de Minerais de Conflito foi criado pela Coalisão pela Cidadania da Industria Eletroeletronica e pela Initiciativa Global de e-Sustentabilidade como a finalidade ser uma fonte d einformação relacionada a "Minerais de Zona de Conflito". Empresas na indústria eletrônica e em outra indústrias poderão adotar este modelo como um elemento de seu progarama de </t>
    </r>
    <r>
      <rPr>
        <i/>
        <sz val="10"/>
        <color indexed="8"/>
        <rFont val="Arial"/>
        <family val="2"/>
      </rPr>
      <t xml:space="preserve">due diligence </t>
    </r>
    <r>
      <rPr>
        <sz val="10"/>
        <rFont val="Verdana"/>
        <family val="2"/>
      </rPr>
      <t xml:space="preserve">para verificação de responsabilidade da origem dos materiais e suporte a conformidade à nova legislação*. Este modelo é consistente com as atividades relacionadas ao EICC e ao GeSI incluindo o Programa das Fundições Livres de Conflitos (FLC)**. </t>
    </r>
  </si>
  <si>
    <t>会社情報の記入（7～17行）に関する解説
回答は英語（半角）で入力してください。</t>
  </si>
  <si>
    <t>기업 정보 입력 안내서(8~18줄).
답변은 반드시 영어로 기입해야 합니다.</t>
  </si>
  <si>
    <t xml:space="preserve">Instruções para completar as questões relacionadas às informações da empresa (Linhas 7 - 17). 
Favor fornecer comentários somente em Inglês. </t>
  </si>
  <si>
    <t xml:space="preserve">     注：（※）のある欄は回答必須項目です。</t>
  </si>
  <si>
    <t>*표는 반드시 입력하여야 합니다.</t>
  </si>
  <si>
    <r>
      <t>Remarque : les ast</t>
    </r>
    <r>
      <rPr>
        <sz val="10"/>
        <rFont val="Verdana"/>
        <family val="2"/>
      </rPr>
      <t>érisques (*) marquent des champs obligatoires</t>
    </r>
  </si>
  <si>
    <t xml:space="preserve">Nota: Campos sinalizados com *, são campos mandatórios de ser preenchidos. </t>
  </si>
  <si>
    <t>1. 输入贵公司的法定名称。请不要使用缩写</t>
  </si>
  <si>
    <t>1.  御社の正式名称を記入してください。省略形は使わないでください。</t>
  </si>
  <si>
    <t>1.  귀사의 법적인 공식 명칭을 기입하시오. 축약된 명칭을 기입하면 안됩니다.</t>
  </si>
  <si>
    <t xml:space="preserve">1. Insira o nome da organização (Nome de Pessoa Jurídica e não Nome Fantasia). Por favor, não use abreviações. </t>
  </si>
  <si>
    <t xml:space="preserve">2.选择贵公司的申报范围。如果范围的选择是“分部申报” 或   “产品类别申报” ， 那么必须在此模板的“范围描述”栏位内提供额外的细节以说明公司部门或工厂，或特定产品的类别。如果选项为产品范围申报，将有一个产品清单工作表的链接被显示出来。
</t>
  </si>
  <si>
    <t>御社の申告の範囲を選択してください。「部門」や「製品カテゴリー」の範囲を選択した場合は、このテンプレートの申告対象となる社内部門や工場、もしくは具体的な製品カテゴリーに関する詳細な説明を次の「範囲の説明」の欄に記入してください。範囲の選択で「製品」を選択すると、「範囲の説明」欄に製品リストのワークシートタブへのリンクが表示されます。</t>
  </si>
  <si>
    <t>2. 귀사 문서의 선언 범위를 선택하시오.  B나 C를 선택할 경우, 해당되는 "계열회사나 부서 " 또는 "제품 범주"를  "선언범위 설명"란에 자세히 기입하시오. 제품 목록 선택 시, 제품 목록 worksheet tab 링크가 표시될 것입니다.</t>
  </si>
  <si>
    <t>2. Sélectionner le périmètre de Déclaration de votre entreprise. Pour les sélections "Division" ou "Catégorie de Produits", merci de fournir des détails supplémentaires décrivant la division ou l'usine, ou la catégorie spécifique de produits pour laquelle ce formulaire est complété dans le champ "Description du Périmètre"</t>
  </si>
  <si>
    <r>
      <t xml:space="preserve">2. Selecione a Declaração de Escopo de sua Organização. Para seleção de escopo de Divisões, ou "Categoria de Produtos", fornecer detalhes adicionais descrevendo a divisão ou planta, ou categoria específica de produto(s) para os quais este modelo vem sendo preenchido, conforme o campo "Descrição de Escopo". Para selecinar Produto(s) um </t>
    </r>
    <r>
      <rPr>
        <i/>
        <sz val="10"/>
        <color indexed="8"/>
        <rFont val="Arial"/>
        <family val="2"/>
      </rPr>
      <t xml:space="preserve">link </t>
    </r>
    <r>
      <rPr>
        <sz val="10"/>
        <rFont val="Verdana"/>
        <family val="2"/>
      </rPr>
      <t xml:space="preserve">para uma planilha de  LIsta de Produtos será vizualizada. </t>
    </r>
  </si>
  <si>
    <t xml:space="preserve">3. 输入您公司独特的识别号码或企业代码 (DUNS 号, VAT号， etc) </t>
  </si>
  <si>
    <t>3.  御社社固有の識別番号又はコードを記入してください（DUNSナンバー、VATナンバー等）。</t>
  </si>
  <si>
    <t>3.  귀사의 고유한 번호나 코드를 기입하십시오. (DUNS #, VAT # 등)</t>
  </si>
  <si>
    <t>3. Inscrire ici le Numéro ou Code Unique d’Identification de votre entreprise (numéro DUNS, numéro TVA, etc…)</t>
  </si>
  <si>
    <t>3. Insira o número de identificação de sua organização (CNPJ, Inscrição Municipal, etc.)</t>
  </si>
  <si>
    <t>4. 输入您公司完整的地址（街道，地区，城市，国家，邮区编号）</t>
  </si>
  <si>
    <t>4.  御社の住所を省略せずに記入してください（番地、市、州/都道府県、国、郵便番号） 。</t>
  </si>
  <si>
    <t xml:space="preserve">Este templete ( El templete) de reporte para  minerales conflictivos EICC-GeSI  fue creado por la Coalición de Ciudadanía de la Industria Electrónica ® (EICC ®) y la Global e-Sustainability Initiative (GeSI) como un medio común para la recopilación de información de fuentes relacionadas con "minerales conflictivos ". Las empresas de la electrónica y todas las otras industrias pueden adoptar esta plantilla como un elemento de su programa de cuidado  para verificar el abastecimiento responsable de los materiales y para apoyar el cumplimiento de la nueva legislación *. Esta plantilla es consistente con actividades relacionadas con la EICC y  GeSI, incluyendo el programa de fundidores libres de conflicto (SFC) ** </t>
  </si>
  <si>
    <r>
      <t xml:space="preserve">     </t>
    </r>
    <r>
      <rPr>
        <b/>
        <sz val="14"/>
        <rFont val="Arial"/>
        <family val="2"/>
      </rPr>
      <t xml:space="preserve">Nota:  Celdas con (*) son campos obligatorios. </t>
    </r>
  </si>
  <si>
    <t>1.  Inserte el nombre legal de la compañia.  No use abreviaciones por favor</t>
  </si>
  <si>
    <t>다음의 여섯 가지 질문은 각 광물의 사용처, 원산지, 구매 정보를 규정합니다. 이에 대한 답변은 " 선언 범위" 항목에서 선택한 선언 범위에 대한 것입니다.</t>
  </si>
  <si>
    <r>
      <t xml:space="preserve">Ces six questions définissent l’utilisation, l’origine et l’identification des fournisseurs pour chacun des métaux.
Les réponses </t>
    </r>
    <r>
      <rPr>
        <sz val="10"/>
        <rFont val="Verdana"/>
        <family val="2"/>
      </rPr>
      <t xml:space="preserve">à ces questions doivent représenter le 'Périmetre de la Décalration' sélectionné dans la section Informartions sur l'entreprise
</t>
    </r>
  </si>
  <si>
    <t xml:space="preserve">Estas seis questões definem o uso, origem e identificam a fonte para um dos metais. Respostas para estas questões devem representar a "Declaração de Escopo" selecionada na sessão de informação da empresa. </t>
  </si>
  <si>
    <t>在6道问题里的每一道问题都必须分别针对每种金属来作答。答案可从下拉菜单里选择</t>
  </si>
  <si>
    <t>6つの質問では、各金属それぞれについてドロップダウンメニューから答えを選択してください。</t>
  </si>
  <si>
    <t>질문 여섯 개 각각에 대해, 드랍다운 메뉴를 이용하여 답변을 선택하시오.</t>
  </si>
  <si>
    <t>Pour chacune des six questions, merci de fournir une réponse pour chacun des métaux en utilisant le menu déroulant.</t>
  </si>
  <si>
    <t>Para cada uma das seis questões requeridas, favor fornecer uma respostas para cada minério utlizando a lista de seleção fornecida.</t>
  </si>
  <si>
    <t>1.如果任何列出金属的答案为“不是”，那么在本节中该金属所剩余的栏位将显示黑色，表示不需要进一步的作答。此申报就被认为已经完成了。</t>
  </si>
  <si>
    <t>1.質問対象の金属に対する答えが全て「いいえ」の場合、このセクションの残りの回答欄は黒く塗りつぶされます。それ以降の質問に回答する必要はなく、御社の申告は終了したとみなされます。</t>
  </si>
  <si>
    <t>1. 광물에 대해 주어진 답변이 "No"일 경우, 추가 답변이 필요치 않고 완료된 것으로 간주되어 항목 내의 다른 란들은 흑색으로 변합니다.</t>
  </si>
  <si>
    <r>
      <t>1. Si la réponse fournie est "Non" pour tous les métaux listés, les champs restants de cette section seront surlignés en noir, indiquant que plus aucune réponse n'est attendue et que votre déclaration est considérée comme étant compl</t>
    </r>
    <r>
      <rPr>
        <sz val="10"/>
        <rFont val="Verdana"/>
        <family val="2"/>
      </rPr>
      <t>ète</t>
    </r>
  </si>
  <si>
    <t>1. Se a resposta dada para quaisquer do minérios for "Não", todos os campos nessa seção permanecerão destacados em preto, indicando que não é requerida mais informações e sua declaração foi considerada completa.</t>
  </si>
  <si>
    <t>如果任何列出金属的答案为“是”，那么必须完成问题2到6的作答，而该栏位将显示黄色。</t>
  </si>
  <si>
    <t>質問対象の金属に対する答えが「はい」だった場合、問2～6に回答する必要があります。回答欄は黄色く表示されます。</t>
  </si>
  <si>
    <t>광물에 대해 주어진 답변 "Yes=예" 일 경우, 노란색으로 표시된 2~6번에 해당하는 질문에 대한 답변이 필요합니다.</t>
  </si>
  <si>
    <t>Si la réponse fournie pour l'un des métaux est "Oui", des réponses sont requises aux questions 2 à 6, comme indiqué par les champs surlignés en jaune.</t>
  </si>
  <si>
    <t>Se a a resposta dada para quaisquer dos minérios listados for "Sim", as respostas requeridas para as Questões 2 a 6, terão os campos destacados em amarelo.</t>
  </si>
  <si>
    <t>2和3。针对每种金属的起源，选择适当的回答。</t>
  </si>
  <si>
    <t>2.及び3.各金属について、その原産地に関して最もふさわしい答えを選択してください。</t>
  </si>
  <si>
    <t>2 &amp; 3. 각 광물의 원산지에 대한 답변을 선택하시오.</t>
  </si>
  <si>
    <t>2 et 3. Pour chaque métal, sélectionner la réponse appropriée concernant son origine</t>
  </si>
  <si>
    <t xml:space="preserve">2 e 3. Para cada minério, selecione a resposta mais apropriada levando em consideração a sua origem. </t>
  </si>
  <si>
    <t>4.针对每种金属，选择最能代表供应商数据收集活动状况的适当回答。</t>
  </si>
  <si>
    <t>4.各金属について、御社サプライヤーのデータ収集活動状況を最もよく表しているものを選択してください。</t>
  </si>
  <si>
    <t>4.  각 광물에 대해, 귀사의 공급 회사 자료 수집 상태를 가장 잘 나타내는 답변을 선택하시오.</t>
  </si>
  <si>
    <t>4. Pour chaque métal, sélectionner la réponse représentant le mieux le statut de votre collection de données concernant vos fournisseurs</t>
  </si>
  <si>
    <r>
      <t xml:space="preserve">4. Para cada minério, selecione a respota apropriada que melhor represente o atual </t>
    </r>
    <r>
      <rPr>
        <i/>
        <sz val="10"/>
        <color indexed="8"/>
        <rFont val="Arial"/>
        <family val="2"/>
      </rPr>
      <t xml:space="preserve">status </t>
    </r>
    <r>
      <rPr>
        <sz val="10"/>
        <rFont val="Verdana"/>
        <family val="2"/>
      </rPr>
      <t xml:space="preserve">de sua atividade de coleta de informações acerca de seus fornecedores. </t>
    </r>
  </si>
  <si>
    <t>5.针对每种金属，选择最能代表冶炼厂识别工作状况的适当回答。</t>
  </si>
  <si>
    <t>5.各金属について、御社製錬業者による情報入手の取組みを最もよく表しているものを選択してください。</t>
  </si>
  <si>
    <t>5.  각 광물에 대해, 귀사의 제련소 정보 파악 상태를 가장 잘 나타내는 답변을 선택하시오.</t>
  </si>
  <si>
    <r>
      <t xml:space="preserve">E.  </t>
    </r>
    <r>
      <rPr>
        <sz val="12"/>
        <rFont val="Arial"/>
        <family val="2"/>
      </rPr>
      <t>Por favor responda “Si” o “No”.  ejemplos de medidas diligentes incluyen: Incorporar y comunicar dentro de contratos (cuando sea posible)  las expectativas a los proveedores en la cadena de suministro de minerales libres de conflicto; identificando y evaluando riesgos en la cadena de suministro; diseñando e implementado la estrategia para responder a los riegos identificados; verificando el cumplimiento directo del proveedor a sus politicas de minerales libres de conflicto de la RDC, etc.  Estos ejemplos de medidas de cuidados  son consistentes con los liniamientos incluidos en la gia OECD internacionalmente reconocida.</t>
    </r>
  </si>
  <si>
    <r>
      <t xml:space="preserve">F. </t>
    </r>
    <r>
      <rPr>
        <sz val="12"/>
        <color indexed="8"/>
        <rFont val="Arial"/>
        <family val="2"/>
      </rPr>
      <t>Por favor responda “Si” o “No”.  Si es  “No", Por favor describa que les requiere a sus proveedores para completar (ejemplo., certificado de cumplimiento, forma de aduana, etc.).</t>
    </r>
  </si>
  <si>
    <r>
      <t xml:space="preserve">G.  </t>
    </r>
    <r>
      <rPr>
        <sz val="12"/>
        <rFont val="Arial"/>
        <family val="2"/>
      </rPr>
      <t>Por favor responda “Si” o “No”.  Provea cualquier comentario,si es necesario.</t>
    </r>
  </si>
  <si>
    <t>10. Siguientes pasos propuestos, si applica – Provea las acciones que usted tomara con el fundidor si la planta no esta listada en la lista de  EICC-GeSI CFS. Ejemplo: requerir que la planta del fundidor sea evaluada a traves del programa CFS, removelo de la lista de proveedores preferidos, etc.</t>
  </si>
  <si>
    <t>Instructions pour répondre aux questions A. - J. lignes (53-73)
Merci de répondre en anglais uniquement</t>
  </si>
  <si>
    <t>Instruções para completar Questões A. - K. (linhas 53 - 73).
Fornecer respostas somente em INGLÊS.</t>
  </si>
  <si>
    <t>Anleitung zum Ausfüllen der Fragen A. - J. (Reihen 53 - 73)
Bitte machen sie ihre Angaben nur in ENGLISCH</t>
  </si>
  <si>
    <r>
      <t>根据</t>
    </r>
    <r>
      <rPr>
        <i/>
        <sz val="12"/>
        <rFont val="Arial"/>
        <family val="2"/>
      </rPr>
      <t>OECD</t>
    </r>
    <r>
      <rPr>
        <sz val="12"/>
        <rFont val="Arial"/>
        <family val="2"/>
      </rPr>
      <t xml:space="preserve"> 有关受冲突矿产影响和高风险领域供应链的尽职调查指南（OECD指南），"尽职调查"的定义是 “通过一个持续性，主动和被动的过程，来确保企业尊重人权及不参与冲突活动“ 尽职调查应该是贵司针对刚果民主共和国(DRC)无冲突金属采购战略里不可缺少的一部分。问题A到问题K是特别为了评估贵司对于 刚果民主共和国(DRC)无冲突金属采购尽职调查活动而设计。这些问题的回答将代表您公司全部活动范围，不应仅限于公司资料部分里所选择的”申报范围”。</t>
    </r>
  </si>
  <si>
    <t>「紛争地域及び紛争リスクの高い地域から産出される鉱物の責任あるサプライチェーンのためのOECD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</si>
  <si>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콩고산 광물질 구매 실사 활동을 평가하기 위해 제작되었습니다. </t>
  </si>
  <si>
    <r>
      <rPr>
        <b/>
        <sz val="12"/>
        <rFont val="Arial"/>
        <family val="2"/>
      </rPr>
      <t>H.</t>
    </r>
    <r>
      <rPr>
        <sz val="12"/>
        <rFont val="Arial"/>
        <family val="2"/>
      </rPr>
      <t xml:space="preserve"> Por favor seleccione la mejor respuesta que indique si y como su compañia las respuestas de sus proveedores.  Por favor refierase a las siguientes definiciones cuando responda:
 “auditoria  por terceros”  se refiere a auditorias en sitio de los proveedores hechos por terceras compañias independientes.  
 " Revision de documentacion solamente” se refiere a la revision  de records enviados del proveedor y documentacion hecha por una tercera compañia independiente y, o personal de tu empresa.   
 “Auditoria Interna”  se refiere a auditoria en sitio de tus proveedores realizada por personal de tu compañia.</t>
    </r>
  </si>
  <si>
    <r>
      <t xml:space="preserve">I.  </t>
    </r>
    <r>
      <rPr>
        <sz val="12"/>
        <rFont val="Arial"/>
        <family val="2"/>
      </rPr>
      <t>Por favor responda</t>
    </r>
    <r>
      <rPr>
        <b/>
        <sz val="12"/>
        <rFont val="Arial"/>
        <family val="2"/>
      </rPr>
      <t xml:space="preserve"> "</t>
    </r>
    <r>
      <rPr>
        <sz val="12"/>
        <rFont val="Arial"/>
        <family val="2"/>
      </rPr>
      <t>Si</t>
    </r>
    <r>
      <rPr>
        <b/>
        <sz val="12"/>
        <rFont val="Arial"/>
        <family val="2"/>
      </rPr>
      <t>"</t>
    </r>
    <r>
      <rPr>
        <sz val="12"/>
        <rFont val="Arial"/>
        <family val="2"/>
      </rPr>
      <t xml:space="preserve"> o “No”. Si es  “Si”, por favor describa como manega el procesos de acciones correctivas.</t>
    </r>
  </si>
  <si>
    <r>
      <t xml:space="preserve">J.  </t>
    </r>
    <r>
      <rPr>
        <sz val="12"/>
        <rFont val="Arial"/>
        <family val="2"/>
      </rPr>
      <t>Por favor responda “Si” o “No”.  Los requerimiento de desglose para minerales conflictivos de la SEC aplica para las compañias que cotizan en la bolsa de valores  de los Estados Unidos que estan sujetas a la ley de Securities Exchange de los Estados Unidos. Para mayor informacion vaya a  www.sec.gov.</t>
    </r>
  </si>
  <si>
    <t>Instrucciones para completar la pestaña de la lista de fundidores.
Provea las respuestas en INGLES  solamente.</t>
  </si>
  <si>
    <t>Nota:  Columnas con (*) son campos obligatorios</t>
  </si>
  <si>
    <r>
      <t xml:space="preserve">1.  Metal (*)  </t>
    </r>
    <r>
      <rPr>
        <sz val="12"/>
        <rFont val="Arial"/>
        <family val="2"/>
      </rPr>
      <t xml:space="preserve"> -   Use el menu de opciones para seleccionar el metal para el cual estas  capturando la informacion del fundidor.</t>
    </r>
  </si>
  <si>
    <t>TERMINOS Y  CONDICIONES</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</si>
  <si>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cualquier herramienta no es responsabilidad de la Coalición de Ciudadanía de la Industria Electrónica, Incorporated, una sociedad anónima de Delaware ("EICC"), o de la  inicitiva Global e-Sustainability, una organizacion  internacional belga sin fines fines de lucro ("GeSI"). La determinación de si y / o el uso de todo o parte de la lista o cualquier herramienta es a discrecion única y absoluta  del usuario. Antes de utilizar la lista o cualquier herramienta, debe revisar con su propio asesor legal. Ninguna parte de la lista o cualquier herramienta constituye asesoramiento jurídico. El uso de la lista o cualquier otra herramienta es voluntaria</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</si>
  <si>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</si>
  <si>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En la máxima medida permitida por las leyes aplicables, EICC y GeSI renuncia a cualquier responsabilidad por cualquier pérdida, gastos o perjuicios de cualquier naturaleza, incluyendo, sin limitación, especiales, incidentales, punitivos, directos, indirectos o consecuentes, o la pérdida de ingresos o beneficios, lo que resulta de o que surja del uso del usuario de la lista o herramienta alguna, ya sea por agravio, contrato, decreto u otra forma, incluso si se demuestra que fueron advertidos de la posibilidad de tales daños.</t>
  </si>
  <si>
    <t>3. Nomes Smelter padrão (*) - Preencha o nome fundição se você selecionou 'Smelter não listado' na coluna 'c'. Este campo será preenchido automaticamente quando um nome de fundição no selecionado na coluna 'c'.</t>
  </si>
  <si>
    <t>3. 표준 제련소 이름은 (*) - 당신이 열 'C'에서 '나열되지 제련소'를 선택한 경우 제련소 이름에 입력합니다. 의 제련소 이름이 열 'C'에서 선택한 경우이 필드는 자동으로 채워집니다.</t>
  </si>
  <si>
    <t>3。标准的冶炼厂名称（*） - 填写在冶炼厂的名称，如果你选择了“冶炼厂未列出”列中的“C”。此字段将自动填充时，冶炼厂中选择列“C”的名称。</t>
  </si>
  <si>
    <t>4。冶炼厂设施地点：国家（*） - 此字段将自动填充冶炼厂名被选中时，在“C”柱。如果您选择了“冶炼厂未列出”列中的“C”，使用下拉菜单中选择所在国家的冶炼厂设施，处理的矿物质，输入您的供应链。这是正在处理中的矿物质冶炼厂的物理位置。不要列出的公司总部。例如：加拿大</t>
  </si>
  <si>
    <t>4. 제련소 시설 위치 : 국가 (*) - 제련소 이름이 열 'C'를 선택한 경우이 필드는 자동으로 채워집니다. 당신이 선택한 경우 열 'C'에서 '제련소가 나타나지 않는다'하여 공급 체인을 입력 광물을 처리하는 제련소 시설의 국가 위치를 선택 풀다운 메뉴를 사용합니다. 이것은 미네랄이 처리되고있는 제련소의 물리적 위치입니다. 회사의 본사를 나열하지 마십시오. 예 : 캐나다</t>
  </si>
  <si>
    <t>4. Emplacement des installations de fonderie: Pays (*) - Ce champ sera automatiquement renseigné lorsque le nom fonderie est sélectionné dans la colonne «c». Si vous avez sélectionné "Non répertorié fonderie» dans la colonne «c», utilisez le menu déroulant pour sélectionner l'emplacement de l'installation de pays fonderie qui traite les minéraux qui entrent dans votre chaîne d'approvisionnement. Ceci est l'emplacement physique de la fonderie où les minéraux sont en cours de traitement. N'inscrivez pas le siège de la société. Exemple: Canada</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</si>
  <si>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</si>
  <si>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F. Merci de répondre par "Oui" ou par "Non". Si "Non", merci de décrire la requête que vous soumettez a vos fournisseurs (ex : certificat de conformité, formulaire de douane, etc.)</t>
  </si>
  <si>
    <t xml:space="preserve">F. Por favor, responda "Sim" ou "Não". Se "Não", por favor,descreva o que sua empresa requer dos forncedores para completar a informação (ex.: certificado de conformidade, formulários costumizado, etc.). </t>
  </si>
  <si>
    <t>G. 请回答是(Yes)或不是(No)。如有意见，请提供。</t>
  </si>
  <si>
    <t>G. 「はい」又は「いいえ」でお答えください。必要に応じてコメントを記入してください。</t>
  </si>
  <si>
    <t xml:space="preserve">G.  "Yes=예" 또는 "No=아니오"로 답하시오. 추가 답변이 필요할 경우 작성하시오. </t>
  </si>
  <si>
    <t>G. Merci de répondre par "Oui" ou par "Non". Commenter si nécessaire</t>
  </si>
  <si>
    <t xml:space="preserve">F. Por favor, responda "Sim" ou "Não". Favor fornecer comenta´rio se necessário. </t>
  </si>
  <si>
    <t>H.请选择最好的回答，以表明贵公司是否有验证以及如何验证您的供应商所给的答复。 “第三方审核”是指由独立的第三方公司对您的供应商进行现场审核。 “仅文件审查“是指由独立的第三方公司或贵司人员来审核供应商所提交的纪录和文件。
“内部审核“是指由贵公司人员对您的供应商进行现场审核。</t>
  </si>
  <si>
    <t>H.御社がサプライヤーから得た回答を検証しているか、またどのように検証しているかを選択してください。回答の際は、以下の定義を参照してください。
「第三者監査」とは、独立第三者機関が実施するサプライヤーの現地監査を意味します。
「書類審査のみ」とは、独立第三者及び御社の社員、又はそのいずれかが実施する、サプライヤーが提出した記録及び文書の監査を意味します。
「内部監査」とは、御社の社員が実施する、サプライヤーの現地監査を意味します。</t>
  </si>
  <si>
    <t xml:space="preserve">H.  귀사가 협력사가 제출한 답변의 사실 여부를 확인하는 경우, 어떻게 확인하는지 작성하시오. "제3자 검증"은 귀사가 독립적인 제3자 검증 기관으로하여금 협력사 사업장 검증을 하는 것을 말합니다. "서류 검토"는 독립적인 제3자 검증 기관이나 귀사의 임직원이 협력사가 제출한 자료와 서류를 검증하는 것을 말합니다. "내부 검증"은 귀사의 임직원이 협력사사업장 검증을 하는 것을 말합니다. </t>
  </si>
  <si>
    <t>H. Merci de choisir la réponse décrivant au mieux la facon dont votre entreprise vérifie les réponses des fournisseurs. Merci de vous référer aux définitions suivantes pour répondre:
"Audit par tierce partie" comprend les audits réalisés sur les sites de vos fournisseurs par une tierce partie indépendante
"Revue de documentation uniquement" signifie la revue des documents fournis par vos fournisseurs menée par une tierce partie independante ou par le personnel de votre entreprise
"Audit Interne" fait référence aux audits sur les sites de fournisseurs menés par du personnel de votre entreprise</t>
  </si>
  <si>
    <t xml:space="preserve">H. Favor seleciona a repsosta que melhor indica se e como sua organização verifica as repostas fornecidas por seus fornecedores. Por favor, refira-se às seguintes definições quando estiver respondendo: 
"3rd party audit" refere-se às auditorias que seus fornecedores conduziram por terceira aprte independente".
"Apenas Análise Docuemntal" - refere´se à análise de documentos e registros submetidos por fornecedor por terceira parte independente e, ou, por profissionais da organização."
"Internal Audit" - refere-se às auditorias em fornecedores conduzidas por profissionais de sua organização.  </t>
  </si>
  <si>
    <t>I. 请回答是(Yes)或不是(No)。请说明您如何管理您的纠正措施流程。</t>
  </si>
  <si>
    <t>I.  「はい」又は「いいえ」でお答えください。「はい」の場合、是正措置プロセスをどのように管理しているかをご説明ください。</t>
  </si>
  <si>
    <t>I.   "Yes=예" 또는 "No=아니오"로 답하시오. "Yes=예"라고 답한 경우, 개선 조치 프로세스를 어떻게 관리하고 있는지 작성하시오.</t>
  </si>
  <si>
    <t>I. Merci de répondre par "Oui" ou par "Non". Si "Oui", merci de décrire la facon dont vous gérez votre processus d'actions correctives.</t>
  </si>
  <si>
    <t>B. Por favor, responda "Sim" ou "Não". Se "Sim", por favor, descreva como é o processo de gestão de ações corretivas.</t>
  </si>
  <si>
    <t xml:space="preserve">J.请回答是(Yes)或不是(No)。美国证券交易委员会的冲突矿产披露要求适用于遵循美国证券交易法下的美国证券交易所上市公司。欲了解更多信息，请参阅www.sec.gov。
</t>
  </si>
  <si>
    <t>J.「はい」又は「いいえ」でお答えください。米国証券取引委員会の開示規定は、米国証券取引所法の対象となる米国で株式などの証券が取引される企業に適用されます。詳しい情報については、www.sec.gov.を参照してください。</t>
  </si>
  <si>
    <t>J. Merci de répondre par "Oui" ou par "Non". L’obligation de divulgation de la SEC s’applique aux entreprises côtées en bourse aux Etats-Unis qui sont sujettes à l’US Securities Exchange Act. Pour plus d'informations, merci de vous reportez à www.sec.gov</t>
  </si>
  <si>
    <t xml:space="preserve">F. Por favor, responda "Sim" ou "Não". Os requisitos de divulgação de minerais de conflito da SEC - EUA aplica-se às organizações americanas de capital aberto que estão sujeitas ao Decreto Securities Exchange dos Estados Unidos da América. Para mais informações acesse: www.sec.gov. </t>
  </si>
  <si>
    <t>冶炼厂名单标签的填写说明。只限英文作答</t>
  </si>
  <si>
    <t>製錬業者リスト・タブの記入に関する解説
回答は英語（半角）で入力してください。</t>
  </si>
  <si>
    <t>제련소 리스트 답변 안내서. 
답변은 반드시 영어로 기입해야 합니다.</t>
  </si>
  <si>
    <t>Instructions pour compléter la liste des fonderies
Merci de répondre en anglais uniquement</t>
  </si>
  <si>
    <t xml:space="preserve">Instruções para completar a Lista de Fundições.
Favor adicionar comentários somente and INGLÊS. </t>
  </si>
  <si>
    <t>注：（※）のある欄は必須項目です。</t>
  </si>
  <si>
    <t xml:space="preserve">주의 : *별표가 있는 항목은 반드시 기입해야 합니다. </t>
  </si>
  <si>
    <t>Remarque: Les colonnes avec un astérisque (*) marquent des champs obligatoires</t>
  </si>
  <si>
    <t>Nota: Colunas com (*) são campos mandatórios a serem preenchidos.</t>
  </si>
  <si>
    <t>1. 金属（*）- 用下拉菜单，选择该冶炼厂所提炼的金属</t>
  </si>
  <si>
    <t>1.  金属（※）　ドロップダウンメニューを使用して、製錬業者情報を入力する該当金属を選択してください。</t>
  </si>
  <si>
    <t>1. 금속(*) - 드랍다운 메뉴를 이용하여 제련소 정보를 입력하려는 금속을 선택하시오.</t>
  </si>
  <si>
    <t>1. Métal (*) – Utiliser la liste déroulante pour sélectionner le métal pour lequel vous entrez l’information</t>
  </si>
  <si>
    <t>1. Metal (*) - Utilize a lista do menu para selecionar o metal para o qual serão adicionadas informações acerca de fundições.</t>
  </si>
  <si>
    <t xml:space="preserve">条款及细则
当有任何分歧时，英文版本的冲突矿产报告模板将被视为管控版本。 </t>
  </si>
  <si>
    <t>利用規約</t>
  </si>
  <si>
    <t>Conditions Générales
Dans l'éventualite d'un conflit, la Version anglaise de ce modèle de rapport sur les minerais de conflit est considérée comme la version de contrôle</t>
  </si>
  <si>
    <t>TERMOS E CONDIÇÕES</t>
  </si>
  <si>
    <t>Allgemeine Geschäftsbedingungen (AGB)</t>
  </si>
  <si>
    <t>无冲突冶炼厂计划（“计划”），合格的冶炼厂清单（“清单”）及计划模板和工具，这包括但不限于，冲突矿产报告模板（统称为“工具”），所提供的一切信息，仅供参考之用，并以其上载日期为准。在清单或工具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</si>
  <si>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</si>
  <si>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t>Titulo del representante:</t>
  </si>
  <si>
    <t>Email del representante (*):</t>
  </si>
  <si>
    <t>Telefono del representante:</t>
  </si>
  <si>
    <t>Fecha de eleboracion(*):</t>
  </si>
  <si>
    <t>Responder a las siguientes preguntas 1-6 basado en el alcance de la declaracion indicado arriba.</t>
  </si>
  <si>
    <t>1) Algunos de los siguientes metales son necesarios para la funcionalidad o produccion de los productos de la compañia que son manufacturados o manufacturados por contratos?  Si es no para todos los metales, la encuesta esta terminada. (*)</t>
  </si>
  <si>
    <t>2) Los siguientes metales ( necesarios para la funcionalidad o produccion de los productos de la compañia) son originarios de la RDC o paises limitrofes? (*)</t>
  </si>
  <si>
    <t>3) Los siguientes metales ( necesarios para la funcionalidad o produccion de los productos de la compañia) provienen de un proveedor de reciclados o desechos? (*)</t>
  </si>
  <si>
    <t>4) Has recibido los templetes de reporte para minerales de conflicto de todos los proveedores? (*)</t>
  </si>
  <si>
    <t>5) Para cada uno de los siguientes metales, has identificado todos los fundidores de tu compañia y de sus proveedores usados para proveer los productos incluidos dentro del alcance de la declaracion indicada arriba? (*)</t>
  </si>
  <si>
    <t>H. Verificas cuidadosamente la informacion recibida de tus proveedores? (*)</t>
  </si>
  <si>
    <t>I.  Tu proceso de verificacion incluye manejo de accciones correctivas? (*)</t>
  </si>
  <si>
    <t>J. Estas sujeto a la regla de  requerimiento  de la SEC para desglose para minerales conflictivos? (*)</t>
  </si>
  <si>
    <t>Informações sobre a empresa</t>
  </si>
  <si>
    <t>公司信息</t>
  </si>
  <si>
    <t>会社情報</t>
  </si>
  <si>
    <t>기업 정보</t>
  </si>
  <si>
    <t>de la Empresa</t>
  </si>
  <si>
    <t>以公司层面来回答问题</t>
  </si>
  <si>
    <t>会社レベルで以下の質問にお答えください</t>
  </si>
  <si>
    <t>회사 차원에서 다음 질문들에 답하시오.</t>
  </si>
  <si>
    <r>
      <t xml:space="preserve">Répondre </t>
    </r>
    <r>
      <rPr>
        <sz val="10"/>
        <rFont val="Verdana"/>
        <family val="2"/>
      </rPr>
      <t>à la question suivante au niveau de l'entreprise</t>
    </r>
  </si>
  <si>
    <t>Responda às seguintes perguntas em nível de Organização</t>
  </si>
  <si>
    <t>Responda a las siguientes preguntas a nivel de la compañia</t>
  </si>
  <si>
    <r>
      <t>R</t>
    </r>
    <r>
      <rPr>
        <sz val="10"/>
        <color indexed="8"/>
        <rFont val="Calibri"/>
        <family val="2"/>
      </rPr>
      <t>é</t>
    </r>
    <r>
      <rPr>
        <sz val="10"/>
        <rFont val="Verdana"/>
        <family val="2"/>
      </rPr>
      <t>ponse</t>
    </r>
  </si>
  <si>
    <t>Resposta</t>
  </si>
  <si>
    <t>Antwort</t>
  </si>
  <si>
    <t>Respuesta</t>
  </si>
  <si>
    <t>추가 내용</t>
  </si>
  <si>
    <t>Commentaires</t>
  </si>
  <si>
    <t>Comentários</t>
  </si>
  <si>
    <t>Anmerkungen/Kommentare</t>
  </si>
  <si>
    <t>Comentarios</t>
  </si>
  <si>
    <t>추가 내용 및 첨부 파일</t>
  </si>
  <si>
    <t>Commentaires et pièces jointes</t>
  </si>
  <si>
    <t>Comentários e Anexos</t>
  </si>
  <si>
    <t>Comentarios y anexos</t>
  </si>
  <si>
    <t>Tantale (Ta) (*)</t>
  </si>
  <si>
    <t>Tântalo (Ta) (*)</t>
  </si>
  <si>
    <t>Tantalio (Ta) (*)</t>
  </si>
  <si>
    <t>Étain (Sn) (*)</t>
  </si>
  <si>
    <t>Estanho (Sn) (*)</t>
  </si>
  <si>
    <t>Estaño (Sn) (*)</t>
  </si>
  <si>
    <t>Or (Au) (*)</t>
  </si>
  <si>
    <t>Ouro (Au) (*)</t>
  </si>
  <si>
    <t>Oro (Au) (*)</t>
  </si>
  <si>
    <t>Tungstênio (W) (*)</t>
  </si>
  <si>
    <t>Tusgteno (W) (*)</t>
  </si>
  <si>
    <t>Pregunta</t>
  </si>
  <si>
    <t>问题</t>
  </si>
  <si>
    <t>質問</t>
  </si>
  <si>
    <t>문제</t>
  </si>
  <si>
    <t>Pergunta</t>
  </si>
  <si>
    <t>Frage</t>
  </si>
  <si>
    <t>Common Name</t>
  </si>
  <si>
    <t>Western Australian Mint trading as The Perth Mint</t>
  </si>
  <si>
    <t>Country location</t>
  </si>
  <si>
    <t>Gold</t>
  </si>
  <si>
    <t>Tin</t>
  </si>
  <si>
    <t>Tantalum</t>
  </si>
  <si>
    <t>Tungsten</t>
  </si>
  <si>
    <t>Smelter Names</t>
  </si>
  <si>
    <t>金属(*)</t>
  </si>
  <si>
    <r>
      <t>M</t>
    </r>
    <r>
      <rPr>
        <sz val="10"/>
        <rFont val="Verdana"/>
        <family val="2"/>
      </rPr>
      <t>étal (*)</t>
    </r>
  </si>
  <si>
    <t>Metall (*)</t>
  </si>
  <si>
    <t>Metal(*)</t>
  </si>
  <si>
    <t>冶炼工厂地址（国家） (*)</t>
  </si>
  <si>
    <t>製錬施設所在地：国(*)</t>
  </si>
  <si>
    <t>제련소 위치: 국가 (*)</t>
  </si>
  <si>
    <t>Localisation de la fonderie : Pays (*)</t>
  </si>
  <si>
    <t>Local da Unidade de Fundição: País (*)</t>
  </si>
  <si>
    <t>Schmelzhütte Standort: Land</t>
  </si>
  <si>
    <t>Localizacion de la fabrica de fundicion: Pais (*)</t>
  </si>
  <si>
    <t>冶炼工厂地址（街道）</t>
  </si>
  <si>
    <t>製錬施設所在地：番地</t>
  </si>
  <si>
    <t>제련소 위치: 주소</t>
  </si>
  <si>
    <t>Localisation de la fonderie : Rue et Numéro</t>
  </si>
  <si>
    <t xml:space="preserve">Local da Unidade de Fundição: Endereço Completo </t>
  </si>
  <si>
    <t>Localizacion de la fabrica de fundicion: Calle</t>
  </si>
  <si>
    <t>冶炼工厂地址（城市）</t>
  </si>
  <si>
    <t>製錬施設所在地：市</t>
  </si>
  <si>
    <t>제련소 위치: 시</t>
  </si>
  <si>
    <t>Localisation de la fonderie : Ville</t>
  </si>
  <si>
    <t>Local da Unidade de Fundição: Cidade</t>
  </si>
  <si>
    <t>Localizacion de la fabrica de fundicion: Ciudad</t>
  </si>
  <si>
    <t>冶炼工厂地址（州/省）</t>
  </si>
  <si>
    <t>製錬施設所在地：州／県</t>
  </si>
  <si>
    <t>제련소 위치: 도/주</t>
  </si>
  <si>
    <t>Localisation de la fonderie : Etat / Province</t>
  </si>
  <si>
    <t>Local da Unidade de Fundição: Estado / Provincia</t>
  </si>
  <si>
    <t>Localizacion de la fabrica de fundicion: Estado/Provincia</t>
  </si>
  <si>
    <t>冶炼厂联络人</t>
  </si>
  <si>
    <t>제련소 담당자 이름</t>
  </si>
  <si>
    <t>Nom du contact de la fonderie</t>
  </si>
  <si>
    <t>Nome do Contato na Unidade de Fundição</t>
  </si>
  <si>
    <t>Nombre del contacto en la fabrica del fundidor</t>
  </si>
  <si>
    <t>冶炼厂联络人电子邮件</t>
  </si>
  <si>
    <t>제련소 담당자 이메일</t>
  </si>
  <si>
    <t>Email du contact de la fonderie</t>
  </si>
  <si>
    <t>Email do Contato da Unidade de Fundição</t>
  </si>
  <si>
    <t>Email de contacto en la fabrica del fundidor</t>
  </si>
  <si>
    <t>리스트에 없을 경우 추가 기재</t>
  </si>
  <si>
    <t>Prochaines étapes proposées, si applicable</t>
  </si>
  <si>
    <t>Proponha os próximos passos, caso seja aplicável.</t>
  </si>
  <si>
    <t>Vorgeschlagene nächste Schritte, falls vorhanden</t>
  </si>
  <si>
    <t>Siguientes pasos propuestos, si aplica</t>
  </si>
  <si>
    <t>矿井名称或如果是源于回收或报废材料商，请标注“回收”或“报废”</t>
  </si>
  <si>
    <t>Nom des Mine(s) ou si provenant d'éléments recyclés ou de fragments/scories, inscrire recyclé ou fragments/scories</t>
  </si>
  <si>
    <t>Nome da(s) Mina(s) ou se fornecedor de reciclado ou proveniente de sucata, declare reciclado ou sucata</t>
  </si>
  <si>
    <t>Nombre de la mina(s) o si es reciclado o proviene de desecho, mencione reciclado o desecho</t>
  </si>
  <si>
    <t>矿井的位置（国家）或如果是源于回收或报废材料商，就写“回收” 或“报废“</t>
  </si>
  <si>
    <t>Localisation (Pays) des Mine(s) ou si provenant d'éléments recyclés ou de fragments/scories, inscrire recyclé ou fragments/scories</t>
  </si>
  <si>
    <t xml:space="preserve">Localização (País) da Mina(s) ou se de oriegem de reciclado ou sucata, declare reciclado ou sucata </t>
  </si>
  <si>
    <t>Localizacion (pais) de la mina(s) o si es reciclado o proviene de desecho, mencione reciclado o desecho</t>
  </si>
  <si>
    <t xml:space="preserve">链接到 " 无冲突冶炼厂评估计划标准清单" </t>
  </si>
  <si>
    <t>「CFS適合製錬業者リスト」へのリンク</t>
  </si>
  <si>
    <t>Lien vers la liste des fonderies en regle avec le programme CFS ("CFS Compliant Smelter List")</t>
  </si>
  <si>
    <t>Link para a Lista de "FLC em Conformidade"</t>
  </si>
  <si>
    <t>Liga a " lista de fundidores que cumplen con CFS"</t>
  </si>
  <si>
    <t xml:space="preserve">在提交报告给客户之前，请审查是否拥有任何行项显示红色以确保所有必须填写的栏位已完成。  </t>
  </si>
  <si>
    <t>御社の顧客レビュー書式を提出する前に、赤で表示されている品目について、すべての必須項目を記入してください。</t>
  </si>
  <si>
    <t>제출 전, 필수 항목이 모두 작성되었는 지 확인하기 위해, 붉게 표시된 부분을 검토하여 주십시오.</t>
  </si>
  <si>
    <r>
      <t xml:space="preserve">Afin de s'assurer que tous les champs obligatoires ont été remplis avant de soumettre le document </t>
    </r>
    <r>
      <rPr>
        <sz val="10"/>
        <rFont val="Verdana"/>
        <family val="2"/>
      </rPr>
      <t>à vos clients, merci de vérifier tous les champs surlignés en rouge</t>
    </r>
  </si>
  <si>
    <t>Para assegurar que todos os campos obrigatórios foram preenchidos antes de submeter sue relatório a seus clientes revise o formulário nas linhas que aparecerem em vermelho.</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</si>
  <si>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</si>
  <si>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r>
      <t xml:space="preserve">Dans les limites prévues par la loi, l'EICC et la GeSI renoncent </t>
    </r>
    <r>
      <rPr>
        <sz val="10"/>
        <rFont val="Calibri"/>
        <family val="2"/>
      </rPr>
      <t>à</t>
    </r>
    <r>
      <rPr>
        <sz val="10"/>
        <rFont val="Arial"/>
        <family val="2"/>
      </rPr>
      <t xml:space="preserve"> toute responsabilité pour toute perte, dépense ou dommages et interêts de quelque nature que ce soit, incluant, sans limitation, des dommages spéciaux, accessoires, punitifs, directs, indirects ou secondaires ou perte de revenus ou de bénéfices, résultant ou émanant de l'utilisation de la Liste ou d'un Outil par l'Utilisateur, que cela émane d'un délit, contrat, de la loi, ou autre, m</t>
    </r>
    <r>
      <rPr>
        <sz val="10"/>
        <rFont val="Calibri"/>
        <family val="2"/>
      </rPr>
      <t>ê</t>
    </r>
    <r>
      <rPr>
        <sz val="10"/>
        <rFont val="Arial"/>
        <family val="2"/>
      </rPr>
      <t>me s'ils étaient prévenus de la possibilité de tels dommages.</t>
    </r>
  </si>
  <si>
    <t>Para toda a extensão permitida pelas leis aplicáveis, EICC e GeSI não se responsabilizam por quaisquer perdas, despesas ou prejuízos de qualquer natureza, incluindo, porém sem se limitar a especiais acidentais, punitivos, diretos, indiretos ou consequenciais, que resultados a partir, ou decorrente, do uso pelo Usuário da Lista ou qualquer outra ferramenta, quando resultante de ato ilícito, de estatuto, de contrato ou outra forma, mesmo se demonstrado que eles foram orientados ​​da possibilidade de tais danos.</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</si>
  <si>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</si>
  <si>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Comments</t>
  </si>
  <si>
    <t>Answer</t>
  </si>
  <si>
    <t>Company Name (*):</t>
  </si>
  <si>
    <t>Company Unique Identifier:</t>
  </si>
  <si>
    <t>Representative Email (*):</t>
  </si>
  <si>
    <t>Tantalum (Ta) (*)</t>
  </si>
  <si>
    <t>Tin (Sn) (*)</t>
  </si>
  <si>
    <t>Gold (Au) (*)</t>
  </si>
  <si>
    <t>Tungsten (W) (*)</t>
  </si>
  <si>
    <t>Metal (*)</t>
  </si>
  <si>
    <t>Proposed next steps, if applicable</t>
  </si>
  <si>
    <t>Conflict Minerals Reporting Template</t>
  </si>
  <si>
    <t>A. Do you have a policy in place that includes DRC conflict-free sourcing? (*)</t>
  </si>
  <si>
    <t>B. Is this policy publicly available on your website? (*)</t>
  </si>
  <si>
    <t>C. Do you require your direct suppliers to be DRC conflict-free? (*)</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</si>
  <si>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</si>
  <si>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</si>
  <si>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</si>
  <si>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</si>
  <si>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Duta Putra Bangka</t>
  </si>
  <si>
    <t>CV Makmur Jaya</t>
  </si>
  <si>
    <t>CV Nurjanah</t>
  </si>
  <si>
    <t>CV Prima Timah Utama</t>
  </si>
  <si>
    <t>CV Serumpun Sebalai</t>
  </si>
  <si>
    <t>CV United Smelting</t>
  </si>
  <si>
    <t>EM Vinto</t>
  </si>
  <si>
    <t>Gejiu Zi-Li</t>
  </si>
  <si>
    <t>Gold Bell Group</t>
  </si>
  <si>
    <t>Liuzhou China Tin</t>
  </si>
  <si>
    <t>Malaysia Smelting Corp</t>
  </si>
  <si>
    <t>Metallo Chimique</t>
  </si>
  <si>
    <t>OMSA</t>
  </si>
  <si>
    <t>PT Alam Lestari Kencana</t>
  </si>
  <si>
    <t>PT Artha Cipta Langgeng</t>
  </si>
  <si>
    <t>PT Babel Inti Perkasa</t>
  </si>
  <si>
    <t>PT Babel Surya Alam Lestari</t>
  </si>
  <si>
    <t>Yunnan Chengfeng</t>
  </si>
  <si>
    <t>Metal</t>
  </si>
  <si>
    <t>Boliden Mineral AB</t>
  </si>
  <si>
    <t>Chimet SpA</t>
  </si>
  <si>
    <t xml:space="preserve">Jiangxi Copper Company Limited </t>
  </si>
  <si>
    <t>Kyrgyzaltyn JSC</t>
  </si>
  <si>
    <t xml:space="preserve">The Great Wall Gold and Silver Refinery of China </t>
  </si>
  <si>
    <t xml:space="preserve">Zhongyuan Gold Smelter of Zhongjin Gold Corporation </t>
  </si>
  <si>
    <t>Zijin Mining Group Co. Ltd</t>
  </si>
  <si>
    <t>Exotech</t>
  </si>
  <si>
    <t>F&amp;X</t>
  </si>
  <si>
    <t>Jiujiang Tambre</t>
  </si>
  <si>
    <t>Mitsui</t>
  </si>
  <si>
    <t>Niotan</t>
  </si>
  <si>
    <t>Plansee</t>
  </si>
  <si>
    <t>Solikamsk</t>
  </si>
  <si>
    <t>ATI Metalworking Products</t>
  </si>
  <si>
    <t>Chaozhou Xianglu Tungsten Industry Co Ltd</t>
  </si>
  <si>
    <t>Global Tungsten &amp; Powders Corp</t>
  </si>
  <si>
    <t>Jiangxi Rare Earth &amp; Rare Metals Tungsten Group Corp</t>
  </si>
  <si>
    <t>Jiangxi Tungsten Industry Co Ltd</t>
  </si>
  <si>
    <t>Xiamen Tungsten Co Ltd</t>
  </si>
  <si>
    <t>Representative Phone:</t>
  </si>
  <si>
    <t>Smelter Facility Contact Name</t>
  </si>
  <si>
    <t>Smelter Facility Contact Email</t>
  </si>
  <si>
    <t>DOCUMENT TITLE</t>
  </si>
  <si>
    <t>DOCUMENT NUMBER</t>
  </si>
  <si>
    <t>REVISION</t>
  </si>
  <si>
    <t>SHEET</t>
  </si>
  <si>
    <t>REVISION HISTORY</t>
  </si>
  <si>
    <t>DESCRIPTION OF CHANGE</t>
  </si>
  <si>
    <t>ORIGINATOR</t>
  </si>
  <si>
    <r>
      <t xml:space="preserve">Instruções para as 6 Questões de </t>
    </r>
    <r>
      <rPr>
        <b/>
        <i/>
        <sz val="18"/>
        <rFont val="Arial"/>
        <family val="2"/>
      </rPr>
      <t>Due Diligence</t>
    </r>
    <r>
      <rPr>
        <b/>
        <sz val="18"/>
        <rFont val="Arial"/>
        <family val="2"/>
      </rPr>
      <t xml:space="preserve"> (rows 21 - 51). 
Fornecer respostas somente em INGLÊS</t>
    </r>
  </si>
  <si>
    <t>这6道问题包括每种金属的使用定义，起源和采购鉴定。这些问题的答复将依据在公司资料部份里所选择的”申报范围”。</t>
  </si>
  <si>
    <t xml:space="preserve"> これらの6つの質問は各金属に関する使用法、原産地、調達先を明確にするものです。これらの質問への回答は、企業情報に関するセクションで選択した「申告範囲」が対象となります。</t>
  </si>
  <si>
    <t xml:space="preserve">PT Sumber Jaya Indah </t>
  </si>
  <si>
    <t xml:space="preserve">PT Timah Nusantara </t>
  </si>
  <si>
    <t xml:space="preserve">PT Tinindo Inter Nusa </t>
  </si>
  <si>
    <t xml:space="preserve">PT Yinchendo Mining Industry </t>
  </si>
  <si>
    <t>Allgemeine Gold- &amp; Silberscheideanstalt</t>
  </si>
  <si>
    <t xml:space="preserve">Almalyk Mining and Metallurgical Complex (AMMC) </t>
  </si>
  <si>
    <t>Argor Heraeus</t>
  </si>
  <si>
    <t>Aurubis</t>
  </si>
  <si>
    <t>Bangko Sentral ng Pilipinas (Central Bank of the Philippines)</t>
  </si>
  <si>
    <t>Caridad</t>
  </si>
  <si>
    <t>Central Bank of the DPR of Korea</t>
  </si>
  <si>
    <t>Codelco</t>
  </si>
  <si>
    <t>Dowa</t>
  </si>
  <si>
    <t>FSE Novosibirsk Refinery</t>
  </si>
  <si>
    <t>Japan Mint</t>
  </si>
  <si>
    <t>JSC Ekaterinburg Non-Ferrous Metal Processing Plant</t>
  </si>
  <si>
    <t>JSC Uralectromed</t>
  </si>
  <si>
    <t>Kazzinc Ltd</t>
  </si>
  <si>
    <t xml:space="preserve">L' azurde Company For Jewelry </t>
  </si>
  <si>
    <t>LS Nikko</t>
  </si>
  <si>
    <t>Materion</t>
  </si>
  <si>
    <t>Mistubishi Materials Corporation</t>
  </si>
  <si>
    <t>Moscow Special Alloys Processing Plant</t>
  </si>
  <si>
    <t>Navoi</t>
  </si>
  <si>
    <t>Ohio Precious Metals</t>
  </si>
  <si>
    <t>PAMP SA</t>
  </si>
  <si>
    <t>Perth Mint (Western Australia Mint)</t>
  </si>
  <si>
    <t>Prioksky Plant of Non-Ferrous Metals</t>
  </si>
  <si>
    <t>Rand Refinery Limited</t>
  </si>
  <si>
    <t>Royal Canadian Mint</t>
  </si>
  <si>
    <t>Schone Edelmetaal</t>
  </si>
  <si>
    <t>SEMPSA Joyeria Plateria SA</t>
  </si>
  <si>
    <t>SOE Shyolkovsky Factory of Secondary Precious Metals</t>
  </si>
  <si>
    <t>Solar Applied Materials Technology Corp.</t>
  </si>
  <si>
    <t>Sumitomo</t>
  </si>
  <si>
    <t>Tanaka</t>
  </si>
  <si>
    <t>Tokuriki Honten Co., Ltd</t>
  </si>
  <si>
    <t>Toyo Smelter &amp; Refinery</t>
  </si>
  <si>
    <t>Umicore SA</t>
  </si>
  <si>
    <t>VALCAMBI</t>
  </si>
  <si>
    <t>Xstrata</t>
  </si>
  <si>
    <t>D. Product Level</t>
  </si>
  <si>
    <t>Link to "CFS Compliant Smelter List"</t>
  </si>
  <si>
    <t>F. Do you request your suppliers to fill out this Conflict Minerals Reporting Template? (*)</t>
  </si>
  <si>
    <t>2) Do the following metals (necessary to the functionality or production of your company's products) originate from the DRC or an adjoining country? (*)</t>
  </si>
  <si>
    <t>２）以下の金属（御社の製品の機能性又は生産に必要なもの）はDRC又は隣接国を原産地としていますか？(*)</t>
  </si>
  <si>
    <t>3) Do the following metals (necessary to the functionality or production of your products) come from a recycler or scrap supplier? (*)</t>
  </si>
  <si>
    <t>３）以下の金属（御社の製品の機能性又は生産に必要なもの）をリサイクル業者又はスクラップサプライヤーから調達していますか？(*)</t>
  </si>
  <si>
    <t>Answer the following questions 1 - 6 based on the declaration scope indicated above</t>
  </si>
  <si>
    <t>4) Have you received completed Conflict Minerals Reporting Templates from all of your suppliers? (*)</t>
  </si>
  <si>
    <t>5) For each of the following metals, have you identified all of the smelters your company and its suppliers use to supply the products included within the declaration scope indicated above? (*)</t>
  </si>
  <si>
    <t>D. Do you require your direct suppliers to source from smelters validated as compliant to a CFS protocol using the CFS Compliant Smelter List? (*)</t>
  </si>
  <si>
    <t>E. Have you implemented due diligence measures for conflict-free sourcing? (*)</t>
  </si>
  <si>
    <t>H. Do you verify due diligence information received from your suppliers? (*)</t>
  </si>
  <si>
    <t>Name of Mine(s) or if recycled or scrap sourced, state recycled or scrap</t>
  </si>
  <si>
    <t>鉱山名を記入。再生材・スクラップを調達した場合はrecycled 又はscrapと記入</t>
  </si>
  <si>
    <t>광산 이름(재활용 또는 스크랩된 광물일 경우 "재활용" 또는 "스크랩" 이라고 명시하시오)</t>
  </si>
  <si>
    <t>Location (Country) of Mine(s) or if recycled or scrap sourced, state recycled or scrap</t>
  </si>
  <si>
    <t>鉱山の所在地（国）を記入。再生材又はスクラップを調達した場合はrecycled 又はscrapと記入</t>
  </si>
  <si>
    <t>광산 위치(국가)(재활용 또는 스크랩된 광물일 경우 "재활용" 또는 "스크랩" 이라고 명시하시오)</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</si>
  <si>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</si>
  <si>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</si>
  <si>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Considerando o acesso e uso da lista e / ou qualquer ferramenta, o USUÁRIO concorda em e faz (a) liberação e para sempre DESONERA a EICC e a GeSI, bem como seus respectivos executivos, diretores, agentes, funcionários, voluntários, representantes, empreiteiros, sucessores e cessionários, de todas e quaisquer reivindicações, ações, perdas, danos, ações judiciais, sentenças, tributos e execuções, que o Usuário já teve, tem ou nunca poderá, deverá ou poderá ter, ou afirmam ter contra EICC e / ou GeSI, bem como seus respectivos funcionários, diretores, agentes, funcionários, voluntários, representantes, fornecedores, sucessores e cessionários, resultantes ou decorrentes da Lista ou qualquer Ferramenta ou utilização, e (b) indenizar, defender e manter EICC isento e GeSI, bem como seus respectivos executivos, diretores, agentes, funcionários, voluntários, representantes, fornecedores, sucessores e cessionários, de todas e quaisquer reivindicações, ações, perdas, danos, ações judiciais, sentenças, impostos, e as execuções decorrentes ou resultantes da Lista ou qualquer Ferramenta ou utilização.</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</si>
  <si>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</si>
  <si>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</si>
  <si>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</si>
  <si>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</si>
  <si>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</si>
  <si>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</si>
  <si>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</si>
  <si>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</si>
  <si>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</si>
  <si>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</si>
  <si>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</si>
  <si>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</si>
  <si>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</si>
  <si>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</si>
  <si>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</si>
  <si>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</si>
  <si>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</si>
  <si>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</si>
  <si>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</si>
  <si>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</si>
  <si>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</si>
  <si>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</si>
  <si>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</si>
  <si>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</si>
  <si>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</si>
  <si>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</si>
  <si>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</si>
  <si>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</si>
  <si>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</si>
  <si>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</si>
  <si>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</si>
  <si>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</si>
  <si>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</si>
  <si>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</si>
  <si>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</si>
  <si>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</si>
  <si>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</si>
  <si>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</si>
  <si>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</si>
  <si>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</si>
  <si>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</si>
  <si>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</si>
  <si>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</si>
  <si>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</si>
  <si>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</si>
  <si>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</si>
  <si>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</si>
  <si>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</si>
  <si>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</si>
  <si>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</si>
  <si>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</si>
  <si>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</si>
  <si>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</si>
  <si>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</si>
  <si>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</si>
  <si>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</si>
  <si>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</si>
  <si>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</si>
  <si>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</si>
  <si>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</si>
  <si>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</si>
  <si>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</si>
  <si>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</si>
  <si>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</si>
  <si>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</si>
  <si>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</si>
  <si>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</si>
  <si>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</si>
  <si>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</si>
  <si>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</si>
  <si>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</si>
  <si>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</si>
  <si>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</si>
  <si>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</si>
  <si>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</si>
  <si>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</si>
  <si>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</si>
  <si>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</si>
  <si>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</si>
  <si>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</si>
  <si>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</si>
  <si>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</si>
  <si>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</si>
  <si>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</si>
  <si>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</si>
  <si>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</si>
  <si>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</si>
  <si>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</si>
  <si>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</si>
  <si>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</si>
  <si>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</si>
  <si>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</si>
  <si>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</si>
  <si>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</si>
  <si>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</si>
  <si>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</si>
  <si>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</si>
  <si>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</si>
  <si>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</si>
  <si>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</si>
  <si>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</si>
  <si>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</si>
  <si>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</si>
  <si>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</si>
  <si>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</si>
  <si>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</si>
  <si>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</si>
  <si>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</si>
  <si>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</si>
  <si>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</si>
  <si>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</si>
  <si>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</si>
  <si>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</si>
  <si>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</si>
  <si>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</si>
  <si>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</si>
  <si>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</si>
  <si>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</si>
  <si>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</si>
  <si>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</si>
  <si>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</si>
  <si>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</si>
  <si>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</si>
  <si>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</si>
  <si>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</si>
  <si>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</si>
  <si>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</si>
  <si>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</si>
  <si>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</si>
  <si>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</si>
  <si>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</si>
  <si>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</si>
  <si>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</si>
  <si>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</si>
  <si>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</si>
  <si>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</si>
  <si>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</si>
  <si>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</si>
  <si>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</si>
  <si>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</si>
  <si>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</si>
  <si>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</si>
  <si>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</si>
  <si>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</si>
  <si>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</si>
  <si>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</si>
  <si>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</si>
  <si>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</si>
  <si>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</si>
  <si>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</si>
  <si>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</si>
  <si>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</si>
  <si>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</si>
  <si>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</si>
  <si>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</si>
  <si>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</si>
  <si>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</si>
  <si>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</si>
  <si>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</si>
  <si>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</si>
  <si>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</si>
  <si>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</si>
  <si>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</si>
  <si>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</si>
  <si>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</si>
  <si>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</si>
  <si>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</si>
  <si>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</si>
  <si>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</si>
  <si>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</si>
  <si>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</si>
  <si>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</si>
  <si>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</si>
  <si>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</si>
  <si>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</si>
  <si>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</si>
  <si>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</si>
  <si>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</si>
  <si>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</si>
  <si>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</si>
  <si>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</si>
  <si>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</si>
  <si>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</si>
  <si>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</si>
  <si>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</si>
  <si>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</si>
  <si>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</si>
  <si>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</si>
  <si>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</si>
  <si>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</si>
  <si>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</si>
  <si>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</si>
  <si>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</si>
  <si>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</si>
  <si>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</si>
  <si>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</si>
  <si>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</si>
  <si>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</si>
  <si>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</si>
  <si>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</si>
  <si>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</si>
  <si>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</si>
  <si>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</si>
  <si>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</si>
  <si>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</si>
  <si>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</si>
  <si>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</si>
  <si>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</si>
  <si>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</si>
  <si>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</si>
  <si>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</si>
  <si>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</si>
  <si>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</si>
  <si>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콩고민주공화국 DRC</t>
  </si>
  <si>
    <t>RDC</t>
  </si>
  <si>
    <t>刚果民主共和国无矿产冲突</t>
  </si>
  <si>
    <t>RDC Sans Conflit</t>
  </si>
  <si>
    <t>RDC Livre de Conflito</t>
  </si>
  <si>
    <t>DRC Konflikt-Frei</t>
  </si>
  <si>
    <t>电子行业公民联盟</t>
  </si>
  <si>
    <t>全球电子可持续发展倡议</t>
  </si>
  <si>
    <t>金提炼厂(冶炼厂)</t>
  </si>
  <si>
    <t>金精製業者（製錬業者）</t>
  </si>
  <si>
    <t>금제련소 Gold Smelter</t>
  </si>
  <si>
    <t>Fonderie d'or</t>
  </si>
  <si>
    <t>Refinaria de Ouro (fundição)</t>
  </si>
  <si>
    <t>Goldverarbeiter (Schmelzhütte)</t>
  </si>
  <si>
    <t>组织经济合作与发展</t>
  </si>
  <si>
    <t>経済協力開発機構（OECD）</t>
  </si>
  <si>
    <t>OCDE</t>
  </si>
  <si>
    <t>产品</t>
  </si>
  <si>
    <t>製品</t>
  </si>
  <si>
    <t>제품 Product</t>
  </si>
  <si>
    <t>Produit</t>
  </si>
  <si>
    <t>Produto</t>
  </si>
  <si>
    <t>Produkt</t>
  </si>
  <si>
    <t>产品分类</t>
  </si>
  <si>
    <t>製品カテゴリー</t>
  </si>
  <si>
    <t>제품분류 Product Category</t>
  </si>
  <si>
    <t>Catégorie de produit</t>
  </si>
  <si>
    <t>Categoria de Produto</t>
  </si>
  <si>
    <t>Produkt Bereich</t>
  </si>
  <si>
    <t>回收及废料</t>
  </si>
  <si>
    <t>재활용 및 스크랩 광물 Recycled and Scrap Materials</t>
  </si>
  <si>
    <t>Matériaux recyclés/Scories ou fragments</t>
  </si>
  <si>
    <t>Materiais Reciclados e Descartados</t>
  </si>
  <si>
    <t>Recycling oder Schrott Materialien</t>
  </si>
  <si>
    <t>证券交易委员会</t>
  </si>
  <si>
    <t>米国証券取引委員会（SEC）</t>
  </si>
  <si>
    <t>미국증권거래위원회 SEC</t>
  </si>
  <si>
    <t>冶炼厂</t>
  </si>
  <si>
    <t>제련소 Smelter</t>
  </si>
  <si>
    <t>Fonderie</t>
  </si>
  <si>
    <t>Fundição</t>
  </si>
  <si>
    <t>Schmelzhütte</t>
  </si>
  <si>
    <t>钽冶炼厂</t>
  </si>
  <si>
    <t>탄탈륨 제련소 Tantalum Smelter</t>
  </si>
  <si>
    <t>Fonderie de tantale</t>
  </si>
  <si>
    <t>Fundição de Tântalo</t>
  </si>
  <si>
    <t>Tantal Schmelzhütte</t>
  </si>
  <si>
    <t>锡冶炼厂</t>
  </si>
  <si>
    <t>주석 제련소 Tin Smelter</t>
  </si>
  <si>
    <t>Fonderie d'étain</t>
  </si>
  <si>
    <t>Fundição de Estanho</t>
  </si>
  <si>
    <t>Zinn Schmelzhütte</t>
  </si>
  <si>
    <t>钨冶炼厂</t>
  </si>
  <si>
    <t>텅스텐 제련소 Tungsten Smelter</t>
  </si>
  <si>
    <t>Fonderie de tungstène</t>
  </si>
  <si>
    <t>Fundiçãod e Tungstênio</t>
  </si>
  <si>
    <t>Wolfram Schmelzhütte</t>
  </si>
  <si>
    <t>DEFINITION</t>
    <phoneticPr fontId="0" type="noConversion"/>
  </si>
  <si>
    <t>DEFINITION</t>
  </si>
  <si>
    <t>DEFINIÇÃO</t>
  </si>
  <si>
    <t>Definition</t>
  </si>
  <si>
    <t>国际公认与刚果民主共和国共享边境的国家。</t>
  </si>
  <si>
    <t>コンゴ民主共和国と国際的に認められた国境を共有する国が「隣接国」とみなされる。</t>
  </si>
  <si>
    <t>콩고민주공화국의 국제적으로 인식된 국경과 인접해 있는 국가</t>
  </si>
  <si>
    <t>Un pays partageant une frontière internationalement reconnue ou non avec la République Démocratique du Congo est considéré comme un pays frontalier.</t>
  </si>
  <si>
    <t xml:space="preserve">País que possui fronteiras internacionalmente reconhecidas com a república democrática do Congo é considerado país adjacente, ou fronteiriço. </t>
  </si>
  <si>
    <t>G. Do you request smelter names from your suppliers? (*)</t>
  </si>
  <si>
    <t>I. Does your verification process include corrective action management? (*)</t>
  </si>
  <si>
    <t>J. Are you subject to the SEC Conflict Minerals disclosure requirement rule? (*)</t>
  </si>
  <si>
    <t>Smelter ID</t>
  </si>
  <si>
    <t>Smelter Facility Location: Country</t>
  </si>
  <si>
    <t>Standard Smelter Names</t>
  </si>
  <si>
    <t>Known alias</t>
  </si>
  <si>
    <t>Duoloshan</t>
  </si>
  <si>
    <t>Gannon &amp; Scott</t>
  </si>
  <si>
    <t>HC Starck</t>
  </si>
  <si>
    <t>Tantalite Resources</t>
  </si>
  <si>
    <t>Ulba</t>
  </si>
  <si>
    <t>China Minmetals  Corp.</t>
  </si>
  <si>
    <t>Ganzhou Huaxing Tungsten</t>
  </si>
  <si>
    <t>Ganzhou Nonferrous Metals Smelting Co Ltd.</t>
  </si>
  <si>
    <t>HC Starck GmbH</t>
  </si>
  <si>
    <t>Sichuan Metals &amp; Materials Imp &amp; Exp Co</t>
  </si>
  <si>
    <t>Wolfram Bergbau und Hütten AG</t>
  </si>
  <si>
    <t>Wolfram Company CJSC</t>
  </si>
  <si>
    <t>Chongyi Zhangyuan Tungsten Co Ltd</t>
  </si>
  <si>
    <t>CV JusTindo</t>
  </si>
  <si>
    <t>Jiangxi Nanshan</t>
  </si>
  <si>
    <t>Mitsubishi Material</t>
  </si>
  <si>
    <t>Novosibirsk</t>
  </si>
  <si>
    <t xml:space="preserve">PT Bangka Kudai Tin </t>
  </si>
  <si>
    <t xml:space="preserve">PT Bangka Putra Karya </t>
  </si>
  <si>
    <t xml:space="preserve">PT Bangka Timah Utama Sejahtera </t>
  </si>
  <si>
    <t xml:space="preserve">PT Belitung Industri Sejahtera </t>
  </si>
  <si>
    <t xml:space="preserve">PT BilliTin Makmur Lestari </t>
  </si>
  <si>
    <t xml:space="preserve">PT Bukit Timah </t>
  </si>
  <si>
    <t xml:space="preserve">PT Eunindo Usaha Mandiri </t>
  </si>
  <si>
    <t>PT Fang Di MulTindo</t>
  </si>
  <si>
    <t xml:space="preserve">PT HP Metals Indonesia </t>
  </si>
  <si>
    <t xml:space="preserve">PT Koba Tin </t>
  </si>
  <si>
    <t xml:space="preserve">PT Mitra Stania Prima </t>
  </si>
  <si>
    <t xml:space="preserve">PT Refined Banka Tin </t>
  </si>
  <si>
    <t xml:space="preserve">PT Sariwiguna Binasentosa </t>
  </si>
  <si>
    <t xml:space="preserve">PT Stanindo Inti Perkasa                        </t>
  </si>
  <si>
    <t xml:space="preserve">La liste des fonderies Sans Conflit du Programme CFS (ou Conflict-Free Smelter Program Compliant Smelter List) est une liste des fonderies qui ont été indépendamment auditées et validées comme étant en règle avec le protocole CFS. La liste et les protocoles sont disponibles ici: (http://www.conflictfreesmelter.org/) </t>
  </si>
  <si>
    <t>Programa de Conformidade de Fundições Livres de Conflitos é uma lista de fundições que vêm sendo auditadas por organização independente que determina a conformidade conforme protocolo FLC. Esta lista e protocolo pode ser encontrada no site: (http://www.conflictfreesmelter.org/)</t>
  </si>
  <si>
    <t>Die Konflikt-Frei Schmelzhütten Programm ("Programm") Compliant Smelter Liste ist eine Liste von Schmelzhütten die von unabhängigen Stellen überprüft wurden und mit dem CFS Protokoll in Einklang sind. Die Liste und Protokolle sind hier verfügbar: (http://www.conflictfreesmelter.org/)</t>
  </si>
  <si>
    <t>这无冲突冶炼厂评估项目是由电子行业公民联盟(EICC) 和全球电子可持续发展倡议(GeSI)来制定以提高公司在验证负责金属采购的能力。 
详细的评估项目资料可从这里得到:  (http://www.conflictfreesmelter.org/)</t>
  </si>
  <si>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melter.org/)</t>
  </si>
  <si>
    <t>Le Programme Conflict-Free Smelter (CFS) est un programme développé par l'EICC et la GeSI pour augmenter la capacité des entreprises à vérifier leur approvisionnement responsable en métaux. De plus amples détails sur le Programme CFS sont disponibles ici :
(http://www.conflictfreesmelter.org/)</t>
  </si>
  <si>
    <t>O Programa de Fundições Livres de Conflito (FLC) desenvolvido pela EICCe GeSI destina-se a melhorar a capacidade das organizações de verificar fontes de minérios responsáveis. Para mais detalhes sobre o Programa de FLC acesse: (http://www.conflictfreesmelter.org/)</t>
  </si>
  <si>
    <t>正如2010年美国立法的定义，多德，弗兰克华尔街改革和消费者保护法，第1502(e)(4):冲突矿产 - "冲突矿物" 意思是
(甲) 钶-钽(钶钽)，锡石，金，黑钨，或他们的衍生物质或
(乙)任何由国务卿决定为刚果民主共和国或毗邻国家融资冲突的其他款物或其衍生物。 (详细请看http://www.sec.gov/about/laws/wallstreetreform-cpa.pdf)</t>
  </si>
  <si>
    <t>2010年に制定された米国のドッド・フランク金融規制改革及び消費者保護法の1502条(e)(4)に定義されているように、「紛争鉱物」とは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</si>
  <si>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Comme défini dans la législation 2010 des Etats-Unis d'Amérique, la Réforme Dodd-Frank Wall Street et le Consumer Protection Act, Section 1502(e)(4): 
MINERAI DE CONFLIT. - le terme "minerai de conflit" signifie_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</si>
  <si>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Como definido em 2010 pela Legislação dos Estado Unidos da América por meio do Decreto Dodd-Frank, Reforma de Wall Street e Proteção ao Consumidor, Seção 1502(e)(4):
Mineral de Conflito - O termo "mineral de conflito" significa - (A)  columbita-tantalita (coltan), cassiterita, ouro, wolframita, ou seus derivados, ou
(B) qualquer outro mineral ou seus derivados determinado pelo Secretaria do Estado que possa finaciar conflitos na República Democrática do Congo ou em país adjancentes. 
Disponível em: ( http://www.sec.gov/about/laws/wallstreetreform-cpa.pdf)</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</si>
  <si>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</si>
  <si>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对于这模板的目的，该范围描述了报告公司所提供信息的适用性。范围涵盖了整个公司的服务和/或产品， 或公司的决定，该模板可用于发表该公司的特别分部，产品分类，或产品。</t>
  </si>
  <si>
    <t>このテンプレートの目的に照らして、範囲とは報告を行う企業が提供する情報の適用範囲を示す。範囲には企業のサービスや製品全体が含まれる場合がある。また、企業の判断において、このテンプレートは、企業の特定の部門や製品カテゴリー、製品を対象として使用してもよい。</t>
  </si>
  <si>
    <t>이 템플릿 목적 상, 선언 범위는 회사에서 제공하는 정보의 적용성을 나타냄. 이 범위는 회사의 서비스 및/또는 제품의 전체를 포괄하거나, 또는 회사 재량에 따라, 템플릿을 회사의 특정 부서, 제품의 범주, 또는 제품 (들)을 위해 사용할 수 있음.</t>
  </si>
  <si>
    <t>5) Haben Sie für jedes der folgenden Metalle sämtliche Schmelzhütten identifiziert, die Ihre Firma und Ihre Lieferanten für Produkte innerhalb des oben angegebenen Erklärungsbereiches beliefern? (*)</t>
  </si>
  <si>
    <t>6) Sind, bezogen auf die folgenden Metalle, sämtliche der von Ihrer Firma und Ihren Lieferanten genutzten Schmelzhütten gemäß den Vorgaben des Conflict-Free-Smelter (CFS) Programms validiert worden und in der „Compliant Smelter“- Liste aufgeführt? (*)</t>
  </si>
  <si>
    <t>Beantworten Sie folgende Fragen auf Firmenebene</t>
  </si>
  <si>
    <t>These six questions define the usage, origination and sourcing identification for each of the metals. Responses to these questions shall represent the ‘Declaration Scope’ selected in the company information section.</t>
  </si>
  <si>
    <t>For each of the six required questions, provide an answer for each metal using the pull down menu selections.</t>
  </si>
  <si>
    <t>1. If the answer provided for any metal listed is “No”, all remaining fields within this section will be highlighted black, indicating that no further responses are required and your declaration is considered complete.</t>
  </si>
  <si>
    <t>If the answer provided for any metal listed is “Yes”, responses are required for Questions 2 through 6, as indicated by the yellow highlighted fields.</t>
  </si>
  <si>
    <t>2 and 3. For each metal, select the appropriate response regarding its origination.</t>
  </si>
  <si>
    <t>4. For each metal, select the appropriate response best representing the status of your supplier data collection activities.</t>
  </si>
  <si>
    <t>5. For each metal, select the appropriate response best representing the status of your smelter identification efforts.</t>
  </si>
  <si>
    <t>6. For each metal, select the appropriate response based on a comparison of the smelters in your supply chain to the published CFS Compliant Smelter List.</t>
  </si>
  <si>
    <t>Refer to the link above the comment section for verifying smelter status.</t>
  </si>
  <si>
    <t>Provide comments in the Comment sections as required to clarify your responses.</t>
  </si>
  <si>
    <t>Ningxia Orient Tantalum Industry Co., Ltd.</t>
  </si>
  <si>
    <t>Zhuzhou Cement Carbide</t>
  </si>
  <si>
    <t>AGR Matthey</t>
  </si>
  <si>
    <t>Global Advanced Metals</t>
  </si>
  <si>
    <t>Cabot,Cabot Corporation,Cabot Supermetals</t>
  </si>
  <si>
    <t>Thaisarco</t>
  </si>
  <si>
    <t>Yunnan Tin Company Limited</t>
  </si>
  <si>
    <t>PT Tambang Timah</t>
  </si>
  <si>
    <t>PT Timah</t>
  </si>
  <si>
    <t>F&amp;X Electro-Materials Limited</t>
  </si>
  <si>
    <t>Mineração Taboca S.A.</t>
  </si>
  <si>
    <t>Minsur</t>
  </si>
  <si>
    <t>Johnson Matthey Inc</t>
  </si>
  <si>
    <t>Return to declaration tab</t>
  </si>
  <si>
    <t>Company Information</t>
  </si>
  <si>
    <t>Answer the Following Questions at a Company Level</t>
  </si>
  <si>
    <t>Question</t>
  </si>
  <si>
    <t>Gold (Au)</t>
  </si>
  <si>
    <t xml:space="preserve">Inner Mongolia Qiankun Gold and Silver Refinery Share Company Limited </t>
  </si>
  <si>
    <t>Instructions for completing Questions A. – J. (rows 53 - 73).
Provide answers in ENGLISH only</t>
  </si>
  <si>
    <t>Para os fins deste modelo, o escopo descreve a aplicabilidade da informação fornecida pela empresa de referência. O escopo pode abranger a totalidade dos serviços de uma empresa e / ou produtos, ou a critério da empresa, o modelo pode ser usado para tratar Divisão específica da empresa, Categoria de Produtos, ou Produto (s).</t>
  </si>
  <si>
    <t>Der Zweck dieses Fragebogens beschreibt den Anwendbarkeitsbereich der Informationen, die von der berichtenden Firma zur Verfügung gestellt werden. Der Bereich kann die Gesamtheit der Leistungen einer Firma und / oder Produkte umfassen, oder eine Firma kann die Vorlage verwenden um eine spezifische Firmenabteilung, Produktkategorien oder Produkt(e) zu erfassen.</t>
  </si>
  <si>
    <t xml:space="preserve">分部被定义为执行特定服务或特定产品分类程序的业务单位。 </t>
  </si>
  <si>
    <t>部門とは、特定のサービスを行ったり、特定のカテゴリーの製品を生産したりする業務上の明確な単位である。</t>
  </si>
  <si>
    <t>계열회사 또는 부서는 특정 서비스를 수행하거나 특정 제품을 생산하는 사업의 단위로 정의됨.</t>
  </si>
  <si>
    <t>Une Division est définie comme une unité d'affaires fournissant un service ou des catégories de produits spécifiques.</t>
  </si>
  <si>
    <t>A divisão é uma unidade definida de uma empresa que realiza um serviço específico ou produz uma categoria específica de produtos.</t>
  </si>
  <si>
    <t>Eine Abteilung  ist eine definierte Einheit einer Firma, die einen bestimmten Dienst durchführt oder eine bestimmte Produktkategorie erzeugt.</t>
  </si>
  <si>
    <t>2010美国立法,多德-弗兰克华尔街改革和消费者保护法,第1502 ("多德-弗兰克") (http://www.sec.gov/about/laws/wallstreetreform-cpa.pdf)</t>
  </si>
  <si>
    <t>2010年に制定された米国のドッド・フランク金融規制改革及び消費者保護法「ドッド・フランク法」）の1502条 （http://www.sec.gov/about/laws/wallstreetreform-cpa.pdf）</t>
  </si>
  <si>
    <t>2010년 미국 제정법, 도드프랭크 금융 개혁 및 소비자 보호를 위한 법률, 1502조(“Dodd-Frank”) 
http://www.sec.gov/about/laws/wallstreetreform-cpa.pdf</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</si>
  <si>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</si>
  <si>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</si>
  <si>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</si>
  <si>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t>
  </si>
  <si>
    <t>1.  Insert your company's Legal Name.  Please do not use abbreviations</t>
  </si>
  <si>
    <t>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t>
  </si>
  <si>
    <t>3.  Insert your company’s unique identifier number or code (DUNS number, VAT number, etc)</t>
  </si>
  <si>
    <t>4.  Insert your full company address (street, city, state, country, postal code)</t>
  </si>
  <si>
    <t>7.  Please enter the Date of Completion for this form using the format DD-MMM-YYYY</t>
  </si>
  <si>
    <t>8.  Save the file name as:  companyname-date.xls (date as YYYY-MM-DD)</t>
  </si>
  <si>
    <t>CFS Compliant Smelter List</t>
  </si>
  <si>
    <t>Conflict-Free Smelter Program Compliant Smelter List is a list of smelters which have been independently audited and determined to be compliant to a CFS protocol. The list and protocols can be found here: (http://www.conflictfreesmelter.org/)</t>
  </si>
  <si>
    <t>The Conflict-Free Smelter (CFS) Program is a program developed by EICC and GeSI to enhance company capability to verify the responsible sourcing of metals. Further details of the CFS Program can be found here: (http://www.conflictfreesmelter.org/)</t>
  </si>
  <si>
    <t>Declaration Scope</t>
  </si>
  <si>
    <t>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t>
  </si>
  <si>
    <t>Division</t>
  </si>
  <si>
    <t>A division is a defined unit of a business which performs a specific service or produces a specific category of products.</t>
  </si>
  <si>
    <t>2010 United States legislation, Dodd-Frank Wall Street Reform and Consumer Protection Act, Section 1502 (“Dodd-Frank”) (http://www.sec.gov/about/laws/wallstreetreform-cpa.pdf)</t>
  </si>
  <si>
    <t>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</si>
  <si>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Product</t>
  </si>
  <si>
    <t>A company’s Product or Finished good is a material or item which has completed the final stage of manufacturing and/or processing and is available for distribution or sale to customers.</t>
  </si>
  <si>
    <t>Product Category</t>
  </si>
  <si>
    <t>A fundição de tântalo é uma empresa que converte  minérios que contêm tântalo (Ta), escórias, pó ou sucata em produtos que contenham Tantalo (como pó de Ta, componentes  de Ta,  óxidosTa , ligas, fios, barras sinterizado ou semelhantes produtos finais) ou produtos intermediários (tal como KTaF (também conhecido como KSalt), hidróxidos de Ta e pós de Ta não refinados, minérios sintéticos e  outros materiais assimilados de Ta).</t>
  </si>
  <si>
    <t>Ein Tantal-Schmelzhütte ist eine Firma die Tantal (Ta) aus Erzen, Schlacken, Pulver oder Schrott in Tantal (Ta) enthaltenden Produkten (z. B. Ta-Pulver, Ta​​-Komponenten, Ta ​​Oxide, Legierungen, Drähte, gesinterten Stangen oder ähnliche Endprodukte) oder Zwischenprodukte (wie KTaF (auch als KSalz bekannt), Ta ​​und Ta-hydroxide raffiniertes Pulver, Erzen und anderen synthetischen Ta Aufschluss Materialien) umwandelt.</t>
  </si>
  <si>
    <t xml:space="preserve">锡冶炼厂指的是一间处理含锡矿石精矿以生产粗略或全精炼锡（纯≥99.85％）的公司。 二次冶炼厂指的是一间处理用于生产粗略或全精炼锡次等原料的公司。提炼厂指的是处理粗略锡或合适的辅助材料来生产全精炼锡的公司。 锡冶炼厂可能是其中一个或者以上的综合。 </t>
  </si>
  <si>
    <t>錫製錬業者とは、錫精鉱から錫粗鉱石又は純錫（純度99.85%以上）を生産する企業である。二次製錬業者とは、二次材料から錫粗鉱石又は純錫を生産する企業である。精錬業者とは、錫粗鉱石又は適切な二次材料から純錫を生産する企業である。錫製錬業者は、上記のどれか1つ、もしくは複数の説明に該当する場合がある。</t>
  </si>
  <si>
    <t>주석 광석을 주석 원석 혹은 정제주석으로 (≥99.85%) 생산하는 회사.  2차 제련소는 2차 주석 물질을 정제하여 주석 원석 혹은 정제주석으로 생산하는 회사. 제련소는 주석 원석 혹은 적당한 2차 주석 물질을 정제하여 정제주석으로 생산하는 회사.  주석 제련소는  위중 하나 또는 이상일 수 있음</t>
  </si>
  <si>
    <r>
      <t>Fonderie ou affinerie d'étain se réf</t>
    </r>
    <r>
      <rPr>
        <sz val="10"/>
        <rFont val="Verdana"/>
        <family val="2"/>
      </rPr>
      <t>ère aux entreprises traitant les minerais contenant des concentrés d'étain afin de produire de l'étain brut ou pur (≥ pur à 99.85%). Les affineries secondaires sont des entreprises qui traitent les matériaux secondaires pour la production d'étain brut ou pur. Les affineries sont les entreprises traitant l'étain brut ou les matériaux secondaires appropriés afin de produire de l'étain pur. Les fonderies d'étain peuvent être l'une ou une combinaison des définitions ci-dessus.</t>
    </r>
  </si>
  <si>
    <t>Uma fundição de estanho refere-se a empresas que tratam minério de estanho contendo concentrados, a fim de produzir estanho bruto ou completamente refinado (≥ 99,85% puro). Fundições Secundárias são empresas que tratam materiais secundários para a produção de estanho em estado bruto ou completamente refinado. As refinarias são as empresas que tratam de estanho bruto ou materiais secundários adequados para produzir estanho totalmente refinado. Fundições de Estanho (tin) pode ser uma das, ou uma combinação das anteriores.</t>
  </si>
  <si>
    <t>Eine Zinn Schmelzhütte wird als Firma, die die Verarbeitung von Zinn aus Erzkonzentrate, um Roh-oder voll raffiniertem Zinn (≥ 99,85% rein) zu produzieren, bezeichnet. Sekundärschmelzhütten sind Unternehmen, die sekundäre Materialien zur Herstellung von rohem oder vollständig raffiniertem Zinn verarbeiten. Raffinierien sind Firmen, die Rohzinn oder geeignete sekundäre Materialien verarbeiten, um vollständig raffiniertes Zinn zu produzieren. Zinnschmelzhütten kann eine oder eine Kombination der obigen sein.</t>
  </si>
  <si>
    <t>钨冶炼厂指的是一间转换钨矿石(黑钨矿和白钨矿), 钨精矿，或钨轴辅助材料至含钨间中产物如准备-仲钨酸铵（APT），铵元钨（AMT），钨铁，钨氧化物。仲钨酸铵 。 仲钨酸铵（APT）生产是钨冶炼厂的典型识别能力。</t>
  </si>
  <si>
    <t>텅스텐 광석, 텅스텐 농축물, 2차 텅스텐 물질을 원료 단계의 텅스텐[Ammonium Para-Tungstate (APT), Ammonium Meta-Tungstate (AMT), ferrotungsten, 텅스텐 산화물]으로 제조하는 회사. 텅스텐 제련소는 주로 원료단계의 텅스텐(APT)을 통해 후속생성물을 제조함</t>
  </si>
  <si>
    <t>Une fonderie de tungstène (W) est définie comme étant une entreprise transformant le minerai de tungstène (wolframite et scheelite) ou les matériaux secondaires comprenant du tungstène pour la conversion en intermédiaires contenant du tungstène, comme le paratungstate d'ammonium (APT), le metatungstate d'ammonium (AMT), le ferrotungstène et les oxydes de tungstène. La production d'APT est typiquement utilisée pour s'assurer du savoir-faire d'une fonderie de tungstène.</t>
  </si>
  <si>
    <t>Uma Refinaria de Tugstênio (W) é definida como uma empresa que converte  minério de W (volframite e scheelita), concentrados de W, ou rolamento de W material secundário de conversão para tungstênio contendo intermediários, tais como amônia Para-tungstato (APT), amônia Meta-tungstato (AMT), tugstenio ferroso, e tóxidos de tungst~enio. A Produção APT é a capacidade típica de identificação de uma fundição de tungstênio.</t>
  </si>
  <si>
    <t>Eine Wolfram (W) Raffinerie ist eine Firma zur Umwandlung von Wolframerz (Wolframit und Scheelit), W-Konzentrate, oder W-Lager Sekundärmaterial zur Umwandlung in Wolfram mit Zwischenprodukten wie Ammonium-Parawolframat (APT), Ammonium Meta-Wolframat (AMT), Ferrowolfram und Wolframoxide. APT Produktion ist die typische Identifizierung einer Wolfram-Schmelzhütte.</t>
  </si>
  <si>
    <t>Modèle de rapport sur les minerais des zones de conflit</t>
  </si>
  <si>
    <t>Relátório de Minerais de Conflito conforme este modelo.</t>
  </si>
  <si>
    <t>这份文件的主要目的是收集在产品中所使用的锡，钽，钨和黄金的采购信息</t>
  </si>
  <si>
    <t>Le but de ce document est de récolter des informations concernant la provenance de l'étain, du tantale, du tungstène et de l'or utilisé dans les produits</t>
  </si>
  <si>
    <t>O objetivo deste documento é coletar informações de fornecedores em estanho, tântalo, tungstênio e ouro usado em produtos.</t>
  </si>
  <si>
    <r>
      <t xml:space="preserve">Les champs obligatoires sont annotés d'une astérisque (*). Les informations récoltées dans ce rapport doivent </t>
    </r>
    <r>
      <rPr>
        <sz val="10"/>
        <rFont val="Verdana"/>
        <family val="2"/>
      </rPr>
      <t>être actualisées chaque année
Tout changement durant l'année en cours doit être fourni aux clients</t>
    </r>
  </si>
  <si>
    <t>B. Division Level [Specify in 'Description of scope']</t>
  </si>
  <si>
    <t>C. Product Category Level [Specify in 'Description of scope']</t>
  </si>
  <si>
    <t>Heimerle + Meule GmbH</t>
  </si>
  <si>
    <t>1 of 8</t>
  </si>
  <si>
    <t>Gejiu Non-ferrous</t>
  </si>
  <si>
    <t>Tin (Sn)</t>
  </si>
  <si>
    <t>Tantalum (Ta)</t>
  </si>
  <si>
    <t>Tungsten (W)</t>
  </si>
  <si>
    <t xml:space="preserve">EICC Extractives 网址：（www.eicc.info/ extractives.htm）
培训，要求模板，常见问题，无冲突冶炼厂（CFS）清单 
</t>
  </si>
  <si>
    <t>EICC 紛争鉱物に関するウェブサイト：(www.eicc.info/extractives.htm)
トレーニング、要請テンプレート、良くある質問（FAQ）、コンフリクトフリー製錬業者（CFS)リスト</t>
  </si>
  <si>
    <t>タンタル製錬業者
Tantalum Smelter</t>
  </si>
  <si>
    <t>Tin Smelter</t>
  </si>
  <si>
    <t>錫製錬業者
Tin Smelter</t>
  </si>
  <si>
    <t>タングステン製錬業者
Tungsten Smelter</t>
  </si>
  <si>
    <t>A.DRCコンフリクトフリー調達に関する方針を定めていますか？(*)</t>
  </si>
  <si>
    <t>July 19th, 2011</t>
  </si>
  <si>
    <t>Smelter Facility Location: Street address</t>
  </si>
  <si>
    <t>Smelter Facility Location: City</t>
  </si>
  <si>
    <t>Completion %</t>
  </si>
  <si>
    <t>Smelter Facility Location: Country (*)</t>
  </si>
  <si>
    <t>Required Fields</t>
  </si>
  <si>
    <t>Answer provided</t>
  </si>
  <si>
    <t>Completion required only if reporting level "Product-level" selected on the 'Declaration' tab.</t>
  </si>
  <si>
    <t>Product or Item Number (*)</t>
  </si>
  <si>
    <t>Product or Item Description</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</si>
  <si>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</si>
  <si>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</si>
  <si>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</si>
  <si>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</si>
  <si>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</si>
  <si>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</si>
  <si>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</si>
  <si>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</si>
  <si>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</si>
  <si>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</si>
  <si>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</si>
  <si>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</si>
  <si>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</si>
  <si>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</si>
  <si>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</si>
  <si>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</si>
  <si>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</si>
  <si>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</si>
  <si>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</si>
  <si>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</si>
  <si>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</si>
  <si>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</si>
  <si>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</si>
  <si>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</si>
  <si>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</si>
  <si>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</si>
  <si>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</si>
  <si>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</si>
  <si>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</si>
  <si>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</si>
  <si>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</si>
  <si>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</si>
  <si>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</si>
  <si>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</si>
  <si>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</si>
  <si>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</si>
  <si>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</si>
  <si>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</si>
  <si>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</si>
  <si>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</si>
  <si>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</si>
  <si>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</si>
  <si>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</si>
  <si>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</si>
  <si>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</si>
  <si>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</si>
  <si>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</si>
  <si>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</si>
  <si>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</si>
  <si>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</si>
  <si>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</si>
  <si>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</si>
  <si>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</si>
  <si>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</si>
  <si>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</si>
  <si>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</si>
  <si>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</si>
  <si>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</si>
  <si>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</si>
  <si>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</si>
  <si>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</si>
  <si>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</si>
  <si>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</si>
  <si>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</si>
  <si>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</si>
  <si>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</si>
  <si>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</si>
  <si>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</si>
  <si>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</si>
  <si>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</si>
  <si>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</si>
  <si>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</si>
  <si>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</si>
  <si>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</si>
  <si>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</si>
  <si>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</si>
  <si>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</si>
  <si>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</si>
  <si>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</si>
  <si>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</si>
  <si>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</si>
  <si>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</si>
  <si>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</si>
  <si>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</si>
  <si>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</si>
  <si>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</si>
  <si>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</si>
  <si>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</si>
  <si>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</si>
  <si>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</si>
  <si>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</si>
  <si>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</si>
  <si>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</si>
  <si>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</si>
  <si>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</si>
  <si>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</si>
  <si>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</si>
  <si>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</si>
  <si>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</si>
  <si>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</si>
  <si>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</si>
  <si>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</si>
  <si>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</si>
  <si>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</si>
  <si>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</si>
  <si>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</si>
  <si>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</si>
  <si>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</si>
  <si>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</si>
  <si>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</si>
  <si>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</si>
  <si>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</si>
  <si>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</si>
  <si>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</si>
  <si>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</si>
  <si>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</si>
  <si>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</si>
  <si>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</si>
  <si>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</si>
  <si>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</si>
  <si>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</si>
  <si>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</si>
  <si>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</si>
  <si>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</si>
  <si>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</si>
  <si>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</si>
  <si>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</si>
  <si>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</si>
  <si>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</si>
  <si>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</si>
  <si>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</si>
  <si>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</si>
  <si>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</si>
  <si>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</si>
  <si>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</si>
  <si>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</si>
  <si>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</si>
  <si>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</si>
  <si>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</si>
  <si>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</si>
  <si>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</si>
  <si>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</si>
  <si>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</si>
  <si>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</si>
  <si>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</si>
  <si>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</si>
  <si>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</si>
  <si>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</si>
  <si>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</si>
  <si>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</si>
  <si>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</si>
  <si>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</si>
  <si>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</si>
  <si>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</si>
  <si>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</si>
  <si>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</si>
  <si>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</si>
  <si>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</si>
  <si>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</si>
  <si>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</si>
  <si>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</si>
  <si>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</si>
  <si>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</si>
  <si>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</si>
  <si>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</si>
  <si>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</si>
  <si>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</si>
  <si>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</si>
  <si>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</si>
  <si>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</si>
  <si>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</si>
  <si>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</si>
  <si>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</si>
  <si>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</si>
  <si>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</si>
  <si>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</si>
  <si>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</si>
  <si>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</si>
  <si>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</si>
  <si>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</si>
  <si>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</si>
  <si>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</si>
  <si>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</si>
  <si>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</si>
  <si>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</si>
  <si>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</si>
  <si>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</si>
  <si>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</si>
  <si>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</si>
  <si>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</si>
  <si>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</si>
  <si>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</si>
  <si>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</si>
  <si>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</si>
  <si>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</si>
  <si>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</si>
  <si>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</si>
  <si>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</si>
  <si>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</si>
  <si>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</si>
  <si>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</si>
  <si>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</si>
  <si>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</si>
  <si>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</si>
  <si>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</si>
  <si>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</si>
  <si>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</si>
  <si>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</si>
  <si>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</si>
  <si>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</si>
  <si>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</si>
  <si>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</si>
  <si>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</si>
  <si>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</si>
  <si>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</si>
  <si>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</si>
  <si>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</si>
  <si>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</si>
  <si>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</si>
  <si>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</si>
  <si>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</si>
  <si>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</si>
  <si>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</si>
  <si>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</si>
  <si>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</si>
  <si>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</si>
  <si>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</si>
  <si>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</si>
  <si>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</si>
  <si>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</si>
  <si>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</si>
  <si>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</si>
  <si>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</si>
  <si>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</si>
  <si>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</si>
  <si>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</si>
  <si>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</si>
  <si>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</si>
  <si>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</si>
  <si>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</si>
  <si>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</si>
  <si>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</si>
  <si>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</si>
  <si>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</si>
  <si>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</si>
  <si>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</si>
  <si>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</si>
  <si>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</si>
  <si>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</si>
  <si>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</si>
  <si>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</si>
  <si>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</si>
  <si>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</si>
  <si>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</si>
  <si>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</si>
  <si>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</si>
  <si>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</si>
  <si>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</si>
  <si>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</si>
  <si>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</si>
  <si>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</si>
  <si>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</si>
  <si>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</si>
  <si>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</si>
  <si>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</si>
  <si>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Declaration Scope (*):</t>
  </si>
  <si>
    <t>This column contains formulas and should be hidden</t>
  </si>
  <si>
    <t>Notes</t>
  </si>
  <si>
    <t>Hyperlink to source</t>
  </si>
  <si>
    <t>To ensure all required fields have been populated before submitting to your customers review form for any line items highlighted in red</t>
  </si>
  <si>
    <t>Click here to return to Declaration tab</t>
  </si>
  <si>
    <t>required fields count</t>
  </si>
  <si>
    <t>Total required fields completed</t>
  </si>
  <si>
    <t>Total number of required fields</t>
  </si>
  <si>
    <t>Required fields remaining to be completed</t>
  </si>
  <si>
    <t>hide this column</t>
  </si>
  <si>
    <t>Smelter Facility Location: State / Province</t>
  </si>
  <si>
    <t>Authorized Company Representative Name (*):</t>
  </si>
  <si>
    <t>A. Company Level</t>
  </si>
  <si>
    <t xml:space="preserve">
</t>
  </si>
  <si>
    <t>Gold Refiner (smelter)</t>
  </si>
  <si>
    <t>A gold refiner is a metallurgical operation that produces fine gold with a concentration of 99.5% or higher from gold and gold-bearing materials with lower concentrations.</t>
  </si>
  <si>
    <r>
      <t>D. Merci de répondre par "Oui" ou par "Non". La liste des Conflict-Free Smelter est la liste des fonderies de minerais qui ont été validées comme étant en r</t>
    </r>
    <r>
      <rPr>
        <sz val="10"/>
        <rFont val="Verdana"/>
        <family val="2"/>
      </rPr>
      <t>ègle avec le programme CFS. Pour obtenir la liste actuelle de ces fonderies et plus d'informations sur le programme, merci de visiter www.conflictfreesmelter.org. Commenter si nécessaire</t>
    </r>
  </si>
  <si>
    <t xml:space="preserve">D. Por favor, responda "Sim" ou "Não". A Lista de Fundições Livres de Conflito (FLC) é uma lista de funcições de minérios e refinarias que foram validadas para estarem em conformidade com o Programa de FLC. Para a lista atual e mais informações acerca do Programa, por favor, acesse: www.conflictfreesmelter.org. Forneça comentários, se necessário. </t>
  </si>
  <si>
    <t>E. 请回答是(Yes)或不是(No)。 尽职调查措施的例子可能包括 : 与供应商沟通并把您对供应商在无冲突矿物供应链上的期望尽可能纳入合同内； 在供应链中识别和评估风险；设计和实施一套策略，以应对所确定的风险；验证您的直接供应商是否遵守刚果民主共和国无冲突政策，等等。这些尽职调查措施的例子是与那些包括在国际公认的OECD指南的指引是一致的。</t>
  </si>
  <si>
    <t>E.  「はい」又は「いいえ」でお答えください。デューデリジェンス対策の例としては、コンフリクトフリーの鉱物サプライチェーンについてサプライヤーに御社の期待を伝え（可能な場合には）契約に盛り込む、サプライチェーンのリスクを特定し、査定する、特定されたリスクに対応する戦略を策定および実行する、一次サプライヤーがDRCコンフリクトフリーに対する方針に準拠しているか検証する等が挙げられます。これらのデューデリジェンス対策の例は、国際的に認められたOECDガイダンス内のガイドラインと合致するものです。</t>
  </si>
  <si>
    <r>
      <t xml:space="preserve">E. Por favor, responda "Sim" ou "Não". Exemplos demedidas de </t>
    </r>
    <r>
      <rPr>
        <i/>
        <sz val="10"/>
        <color indexed="8"/>
        <rFont val="Arial"/>
        <family val="2"/>
      </rPr>
      <t>due diligence</t>
    </r>
    <r>
      <rPr>
        <sz val="10"/>
        <rFont val="Verdana"/>
        <family val="2"/>
      </rPr>
      <t xml:space="preserve"> podem incluir: comunicação e incorporação em contratos (onde possivel) das expectativas para seus fornecedores acerca de Minerais Livres de Conflitos na cadeia de fornecedores, identificação e avaliação de riscos na cadeia de fornecedores; elaboração e implementação de estratégia para resposta a riscos identificados; verificação da conformidade de seus fornecedores diretos com a politica de Minérios Livres de Conflitos da RDC, etc. Estes exemplos de </t>
    </r>
    <r>
      <rPr>
        <i/>
        <sz val="10"/>
        <color indexed="8"/>
        <rFont val="Arial"/>
        <family val="2"/>
      </rPr>
      <t xml:space="preserve">due diligence </t>
    </r>
    <r>
      <rPr>
        <sz val="10"/>
        <rFont val="Verdana"/>
        <family val="2"/>
      </rPr>
      <t xml:space="preserve">estão consistentes com as orientações incluidas no Guia da OCDE internacionalmente reconhecido. </t>
    </r>
  </si>
  <si>
    <t>F. 请回答是(Yes)或不是(No)。如不是(No)，请说明您要求了您的供应商完成什么文件？（例如，合格认证书，海关文件等等）</t>
  </si>
  <si>
    <t>F.  「はい」又は「いいえ」でお答えください。「いいえ」の場合は、何をサプライヤーに記入するように要請しているかご説明ください。 （例：準拠証明書、税関申告書等）</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</si>
  <si>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</si>
  <si>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r>
      <rPr>
        <b/>
        <sz val="12"/>
        <rFont val="Arial"/>
        <family val="2"/>
      </rPr>
      <t>B.</t>
    </r>
    <r>
      <rPr>
        <sz val="12"/>
        <rFont val="Arial"/>
        <family val="2"/>
      </rPr>
      <t xml:space="preserve">  Please answer “Yes” or “No” If “Yes”, provide the web link in the comments section.</t>
    </r>
  </si>
  <si>
    <r>
      <t xml:space="preserve">C.  </t>
    </r>
    <r>
      <rPr>
        <sz val="12"/>
        <rFont val="Arial"/>
        <family val="2"/>
      </rPr>
      <t>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t>
    </r>
  </si>
  <si>
    <r>
      <t xml:space="preserve">D.  </t>
    </r>
    <r>
      <rPr>
        <sz val="12"/>
        <rFont val="Arial"/>
        <family val="2"/>
      </rPr>
      <t>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t>
    </r>
  </si>
  <si>
    <r>
      <t xml:space="preserve">E.  </t>
    </r>
    <r>
      <rPr>
        <sz val="12"/>
        <rFont val="Arial"/>
        <family val="2"/>
      </rPr>
      <t>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t>
    </r>
  </si>
  <si>
    <r>
      <t xml:space="preserve">F. </t>
    </r>
    <r>
      <rPr>
        <sz val="12"/>
        <color indexed="8"/>
        <rFont val="Arial"/>
        <family val="2"/>
      </rPr>
      <t>Please answer “Yes” or “No”.  If “No”, please describe what you request your suppliers to complete (e.g., certificate of compliance, custom form, etc.).</t>
    </r>
  </si>
  <si>
    <r>
      <t xml:space="preserve">G.  </t>
    </r>
    <r>
      <rPr>
        <sz val="12"/>
        <rFont val="Arial"/>
        <family val="2"/>
      </rPr>
      <t>Please answer “Yes” or “No”.  Provide any comments, if necessary.</t>
    </r>
  </si>
  <si>
    <r>
      <t xml:space="preserve">H.  </t>
    </r>
    <r>
      <rPr>
        <sz val="12"/>
        <rFont val="Arial"/>
        <family val="2"/>
      </rPr>
      <t>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t>
    </r>
  </si>
  <si>
    <r>
      <t xml:space="preserve">I.  </t>
    </r>
    <r>
      <rPr>
        <sz val="12"/>
        <rFont val="Arial"/>
        <family val="2"/>
      </rPr>
      <t>Please answer “Yes” or “No”.  If “Yes”, please describe how you manage your corrective action process.</t>
    </r>
  </si>
  <si>
    <r>
      <t xml:space="preserve">J.  </t>
    </r>
    <r>
      <rPr>
        <sz val="12"/>
        <rFont val="Arial"/>
        <family val="2"/>
      </rPr>
      <t>Please answer “Yes” or “No”.  The SEC conflict minerals disclosure requirements apply to US exchange-traded companies that are subject to the US Securities Exchange Act. For more information please refer to www.sec.gov.</t>
    </r>
  </si>
  <si>
    <t>Instructions for completing the Smelter List Tab.
Provide answers in ENGLISH only</t>
  </si>
  <si>
    <t>Instructions for completing Company Information questions (rows 7 - 17).
Provide comments in ENGLISH only</t>
  </si>
  <si>
    <t>Instructions for completing the six Due Diligence Questions (rows 21 - 51).
Provide answers in ENGLISH only</t>
  </si>
  <si>
    <t>5.Pour chaque métal, sélectionner la réponse représentant le mieux le statut de vos efforts d'identification de fonderies</t>
  </si>
  <si>
    <r>
      <t xml:space="preserve">5. Para minério, selecine a resposta apropriada que melhor represente o </t>
    </r>
    <r>
      <rPr>
        <i/>
        <sz val="10"/>
        <color indexed="8"/>
        <rFont val="Arial"/>
        <family val="2"/>
      </rPr>
      <t>status</t>
    </r>
    <r>
      <rPr>
        <sz val="10"/>
        <rFont val="Verdana"/>
        <family val="2"/>
      </rPr>
      <t xml:space="preserve"> referente aos esforços realizados no sentido de identificar as fundições de sua cadeia.</t>
    </r>
  </si>
  <si>
    <t>6.针对每种金属，根据所公布的CFS无冲突冶炼厂清单和您供应链中的冶炼厂进行对比，选择适当的回答。</t>
  </si>
  <si>
    <t>6.各金属について、御社サプライチェーンの製錬業者と、CFS適合製錬業者リストを比較した上で、適切な答えを選択してください。</t>
  </si>
  <si>
    <t>6. 각 광물에 제련소가 EICC-GeSI CFS 리스트에 있는 회사인가에 대한 답변을 선택하시오.</t>
  </si>
  <si>
    <t>6. Pour chaque métal, sélectionner la réponse appropriée en vous basant sur la comparaison entre les fonderies présentes dans votre chaine d'approvisionnement et sur la liste publiée de fonderies identifiées comme Conflict-Free (faisant partie de la liste du programme CFS)</t>
  </si>
  <si>
    <t>6. Para cada minério, selecione a resposta baseada na comparação das fundições de sua cadeia de fornecedores com relação à (FLC) Lista de Fundições em Conformidade.</t>
  </si>
  <si>
    <t>请参阅注释部分上面的链接，以验证冶炼厂状况。</t>
  </si>
  <si>
    <t>製錬業者の状態を検証する際は、備考欄の上のリンクを参照してください。</t>
  </si>
  <si>
    <t>Référez-vous au lien situé au-dessus de la section Commentaires pour vérifier le statut des fonderies</t>
  </si>
  <si>
    <t xml:space="preserve">Referir-se ao link acima para comentar a verificação de status das fundições. </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</si>
  <si>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</si>
  <si>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</si>
  <si>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</si>
  <si>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</si>
  <si>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 xml:space="preserve">Fornecer comentários no campo de Comentários como requerido para esclarecer respostas . </t>
  </si>
  <si>
    <t>问题A-J的填写说明（第53-73行）。只限英文作答</t>
  </si>
  <si>
    <t>質問A～J（53～73行）の記入に関する解説
回答は英語（半角）で入力してください。</t>
  </si>
  <si>
    <t>A ~ J 질문 답변 안내서(59~77줄).
답변은 반드시 영어로 기입해야 합니다.</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</si>
  <si>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</si>
  <si>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</si>
  <si>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 xml:space="preserve">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List or any Tool or use thereof. </t>
  </si>
  <si>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</si>
  <si>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r>
      <t xml:space="preserve">O Guia da OCDE para Due Diligence em Cadeias Responsável de Fornecedores para Minérios provinientes de Áreas de Afetadas por Conlfitos e de Alto Risco (Guia da OCDE) define "Due Diligence" como "um continuado, proativo e reativo processo por meio do qual as organizações podem assegurar que estão respeitando os direitos humanos e não contribuindo para a continuidade dos conflitos". </t>
    </r>
    <r>
      <rPr>
        <i/>
        <sz val="10"/>
        <color indexed="8"/>
        <rFont val="Arial"/>
        <family val="2"/>
      </rPr>
      <t xml:space="preserve">Due Diligence </t>
    </r>
    <r>
      <rPr>
        <sz val="10"/>
        <rFont val="Verdana"/>
        <family val="2"/>
      </rPr>
      <t xml:space="preserve">deve ser parte integrante da estratégia de empresas para fontes de recursos minerais livres de conflito. Questões A. até J. foram elaboradas para avaliar as atividades de </t>
    </r>
    <r>
      <rPr>
        <i/>
        <sz val="10"/>
        <color indexed="8"/>
        <rFont val="Arial"/>
        <family val="2"/>
      </rPr>
      <t xml:space="preserve">due diligence </t>
    </r>
    <r>
      <rPr>
        <sz val="10"/>
        <rFont val="Verdana"/>
        <family val="2"/>
      </rPr>
      <t>para garantir fontes de minérios livres de conflito. Respostas para estas questões representam o escopo completo das atividades de sua organização não se limitando à "Declaração de Escopo" selecionada anteriomente nos campos de informação de sua empresa.</t>
    </r>
  </si>
  <si>
    <t>A. 请回答是(Yes)或不是(No)。如有意见，请提供。</t>
  </si>
  <si>
    <t>A.  「はい」又は「いいえ」でお答えください。必要に応じてコメントを記入してください。</t>
  </si>
  <si>
    <t xml:space="preserve">A.  "Yes=예" 또는 No=아니오"로 답하시오. 추가 답변이 필요할 경우 작성하시오.  </t>
  </si>
  <si>
    <t>A. Merci de répondre par "Oui" ou par "Non". Commenter si nécessaire</t>
  </si>
  <si>
    <t>A. Por favor, responda "Sim" ou "Não". Forneça comentários, se necessário.</t>
  </si>
  <si>
    <t>B. 请回答是(Yes)或不是(No)，并在注释栏位内提供网址链接。</t>
  </si>
  <si>
    <t>B.  「はい」又は「いいえ」で回答し、「はい」の場合はウェブサイトのリンクを備考欄に記入してください。</t>
  </si>
  <si>
    <t xml:space="preserve">B.  "Yes=예" 또는 "No=아니오"로 답하시오. 웹사이트 링크를 기입하시오. </t>
  </si>
  <si>
    <t>B. Merci de répondre par "Oui" ou par "Non". Fournir le lien vers le site Internet dans la section Commentaires</t>
  </si>
  <si>
    <t xml:space="preserve">B. Por favor, responda "Sim" ou "Não". Se "Sim", por favor, forneça o link na seção de comentários. </t>
  </si>
  <si>
    <t>C. 请回答是(Yes)或不是(No)。如有意见，请提供。“DRC无冲突" 被美国多德•弗兰克华尔街改革与消费者保护法案定义为 ”不含有冲突矿产的产品，以确保企业不直接或间接融资给刚果民主共和国或相邻国家的武装部队。“</t>
  </si>
  <si>
    <t>C.  「はい」又は「いいえ」でお答えください。必要に応じてコメントを記入してください。米国金融規制改革及び消費者保護法では、「DRCコンフリクトフリー」とは、「コンゴ民主共和国又は隣接国の武装グループに直接又は間接的に資金提供又は利益供与する紛争鉱物を含まない製品」と定義されています。</t>
  </si>
  <si>
    <t xml:space="preserve">C.  "Yes=예" 또는 "No=아니오"로 답하시오.. 추가 답변이 필요한 경우 작성하시오. 미국 도드프랭크 금융개혁 및 소비자 보호를 위한 법률에서는 "DRC Conflict Free"는  "콩고민주공화국이나 인접국가의 무장단체에게 직접 또는 간접적인 이익을 제공한 광물을 사용하지 않은 제품"이라고 정의합니다.  </t>
  </si>
  <si>
    <r>
      <t>C. Merci de répondre par "Oui" ou par "Non". Commenter si nécessaire. « Sans Conflit République Démocratique du Congo » est défini par la Réforme Dodd-Frank Wall Street et le Consumer Protection Act comme « les produits ne contenant pas de minerais de conflit finan</t>
    </r>
    <r>
      <rPr>
        <sz val="10"/>
        <rFont val="Verdana"/>
        <family val="2"/>
      </rPr>
      <t>çant oú bénéficiant directement ou indirectement à des groupes armés de la RDC ou des pays frontaliers ».</t>
    </r>
  </si>
  <si>
    <t xml:space="preserve">C. Por favor, responda "Sim" ou "Não". Forneça comentários se necessário. "A RDC Livre de Conflitos" é definida pela Reforma de Wall Street e Decreto de Proteção ao Consumidor, Dodd-Frank dos EUA, como: "produtos que não contêm minérios de conflito que direta ou indiretamente financiam, ou beneficiam grupos armados na republica Democrática do Congo ou países adjacentes a este". </t>
  </si>
  <si>
    <t>D.请回答是(Yes)或不是(No)。无冲突冶炼厂(CFS)清单是一份已被验证为符合无冲突冶炼厂计划的矿物冶炼厂和精炼厂名单。对于目前的名单和有关计划的详情，请到这个网站查询www.conflictfreesmelter.org。如有意见，请提供。</t>
  </si>
  <si>
    <t>D.「はい」又は「いいえ」でお答えください。コンフリクトフリー製錬業者（CFS）リストはCFSプログラムへの適合が確認されている製錬業者及び精製業者のリストです。現時点のリスト、及びプログラムに関する詳しい情報についてはwww.conflictfreesmelter.orgを参照してください。必要に応じてコメントを記入してください。</t>
  </si>
  <si>
    <t>A group of products which can be described by an industry recognized generic term (ex. capacitors).</t>
  </si>
  <si>
    <t>A smelter is a company that procures and processes mineral ore, slag and / or recycled materials and scrap into refined metal or metal containing intermediate products.  The output can be pure (99.5% or greater) metals, powders, ingots, bars, grains, oxides or salts.</t>
  </si>
  <si>
    <t>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t>
  </si>
  <si>
    <t>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t>
  </si>
  <si>
    <t>Tungsten Smelter</t>
  </si>
  <si>
    <t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t>
  </si>
  <si>
    <t>© 2011 Electronic Industry Citizenship Coalition, Incorporated and Global e-Sustainability Initiative. All rights reserved.</t>
  </si>
  <si>
    <t>6) Have all of the smelters used by your company and its suppliers been validated as compliant in accordance with the Conflict-Free Smelter (CFS) Program and listed on the Compliant Smelter List for the following metals? (*)</t>
  </si>
  <si>
    <t>탄탈륨 광석, 슬래그(광석 분쇄 물질), 재생 광물 및 스크랩을 활용하여 정제탄탈륨 분말, 탄탈륨 사, 탄탈륨 산화 분말, 순수 탄탈륨잉곳, K2TaF7 (K-Salt) 혹은 탄탈륨바를 생산하는 회사</t>
  </si>
  <si>
    <t>RELEASE DATE</t>
  </si>
  <si>
    <t>New Release</t>
  </si>
  <si>
    <t>Introduction</t>
  </si>
  <si>
    <r>
      <t xml:space="preserve">A. </t>
    </r>
    <r>
      <rPr>
        <sz val="12"/>
        <rFont val="Arial"/>
        <family val="2"/>
      </rPr>
      <t xml:space="preserve"> Please answer “Yes” or “No”.  Provide any comments, if necessary. </t>
    </r>
  </si>
  <si>
    <t>Note:  Columns with (*) are mandatory fields</t>
  </si>
  <si>
    <t>EICC</t>
  </si>
  <si>
    <t xml:space="preserve">GeSI </t>
  </si>
  <si>
    <t>SEC</t>
  </si>
  <si>
    <t>OECD</t>
  </si>
  <si>
    <t>Conflict Mineral</t>
  </si>
  <si>
    <t>DRC</t>
  </si>
  <si>
    <t>Adjoining Country</t>
  </si>
  <si>
    <t>DRC Conflict-Free</t>
  </si>
  <si>
    <r>
      <t xml:space="preserve">1.  Metal (*)  </t>
    </r>
    <r>
      <rPr>
        <sz val="12"/>
        <rFont val="Arial"/>
        <family val="2"/>
      </rPr>
      <t xml:space="preserve"> -   Use the pull down menu to select the metal for which you are entering smelter information.</t>
    </r>
  </si>
  <si>
    <t>Electronics Industry Citizenship Coalition (www.eicc.info)</t>
  </si>
  <si>
    <t>Global e-Sustainability Initiative (www.gesi.org)</t>
  </si>
  <si>
    <t>Security Exchange Commision (www.sec.gov)</t>
  </si>
  <si>
    <t>2011 Electronic Industry Citizenship Coalition, Incorporated and Global e-Sustainability Initiative. All rights reserved.</t>
  </si>
  <si>
    <t>1) Are any of the following metals necessary to the functionality or production of your company's products that it manufactures or contracts to manufacture? If no for all metals, you are done with this survey. (*)</t>
  </si>
  <si>
    <r>
      <t xml:space="preserve">     </t>
    </r>
    <r>
      <rPr>
        <b/>
        <sz val="14"/>
        <rFont val="Arial"/>
        <family val="2"/>
      </rPr>
      <t xml:space="preserve">Note:  Entries with (*) are mandatory fields. </t>
    </r>
  </si>
  <si>
    <r>
      <t xml:space="preserve">EICC Extractives website: (www.eicc.info/extractives.htm)
</t>
    </r>
    <r>
      <rPr>
        <b/>
        <i/>
        <sz val="12"/>
        <rFont val="Arial"/>
        <family val="2"/>
      </rPr>
      <t>training, request template, FAQs, Conflict-Free Smelters (CFS) list</t>
    </r>
  </si>
  <si>
    <t>English</t>
  </si>
  <si>
    <t>Chinese</t>
  </si>
  <si>
    <t>Japanese</t>
  </si>
  <si>
    <t>Korean</t>
  </si>
  <si>
    <t>星号（*）是代表强制性填写栏位，必须完成。这份文件内的信息应每年更新。年度周期内的任何变更，应当提供相关的信息给您的客户。</t>
  </si>
  <si>
    <t>Representative Title:</t>
  </si>
  <si>
    <t>Date of Completion (*):</t>
  </si>
  <si>
    <t>无冲突金属报告模板</t>
  </si>
  <si>
    <t>Constants</t>
  </si>
  <si>
    <t>回答</t>
  </si>
  <si>
    <t>注释</t>
  </si>
  <si>
    <t>钽(*)</t>
  </si>
  <si>
    <t>锡 (*)</t>
  </si>
  <si>
    <t>金(*)</t>
  </si>
  <si>
    <t>钨 (*)</t>
  </si>
  <si>
    <t>注释和附件</t>
  </si>
  <si>
    <t>Yes (3rd party audit)</t>
  </si>
  <si>
    <t>Yes (documentation review only)</t>
  </si>
  <si>
    <t>Yes (internal audit)</t>
  </si>
  <si>
    <t>Yes (all methods apply)</t>
  </si>
  <si>
    <t>金属 (*)</t>
  </si>
  <si>
    <t>建议后续的步骤，如适用</t>
  </si>
  <si>
    <t>公司资料填写说明（第7 -17行）。只限英文作答</t>
  </si>
  <si>
    <t>注：星号（*）是代表强制性填写栏位</t>
  </si>
  <si>
    <t>项目</t>
  </si>
  <si>
    <t>刚果民主共和国</t>
  </si>
  <si>
    <t>释义</t>
  </si>
  <si>
    <t>经济合作与发展组织</t>
  </si>
  <si>
    <t>GeSI</t>
  </si>
  <si>
    <t>Dodd-Frank</t>
  </si>
  <si>
    <t>용어</t>
  </si>
  <si>
    <t>정의</t>
  </si>
  <si>
    <t>광석, 슬래그(광석 분쇄 물질), 재생 광물 및 스크랩을 활용하여 정제 금속이나 중간금속생산물을 생산하는 회사로서,  회사에서 생산되는 제품은 순수 금속, 금속파우더, 잉곳, 바, 산화물들임.</t>
  </si>
  <si>
    <t>전자산업 시민연대 (Electronics Industry Citizenship Coalition)
www.eicc.info</t>
  </si>
  <si>
    <t>글로벌 전자 지속가능성 이니셔티브 (Global e-Sustainability Initiative) 
www.gesi.org</t>
  </si>
  <si>
    <t>이 문서는 제품에 사용되는 주석, 탄탈륨, 텅스텐, 금의 구매 정보를 수집하기 위해 제작되었습니다.</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</si>
  <si>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</si>
  <si>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</si>
  <si>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</si>
  <si>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</si>
  <si>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</si>
  <si>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담당자 전화번호:</t>
  </si>
  <si>
    <t>답변</t>
  </si>
  <si>
    <t>탄탈륨 (Ta) (*)</t>
  </si>
  <si>
    <t>주석 (Sn) (*)</t>
  </si>
  <si>
    <t>금 (Au) (*)</t>
  </si>
  <si>
    <t>텅스텐 (W) (*)</t>
  </si>
  <si>
    <t>금속 (*)</t>
  </si>
  <si>
    <t>E.   "Yes=예" 또는 "No=아니오"로 답하시오.. 실사 평가 사례는 다음과 같은 사항을 포함합니다. 
공급망에 있는 협력사의 계약서에 DRC Conflict Free 관련 사항을 포함하고 커뮤니케이션 하는 것, 공급망 상의 위기를 규명하고 측정하는 것, 규명된 위기에 대응하기 위한 전략을 설계하는 것, 1차 협력사의 DRC Conflict Free 광물질 정책 준수 사항을 확인하는 것 등입니다. 이 실사 평가 사례는 OECD 안내서와 같은 인증된 산업 표준에 따릅니다.</t>
  </si>
  <si>
    <t>F.   "Yes=예" 또는 "No=아니오"로 답하시오. "No=아니오"라고 답한 경우, 귀사의 협력사에게 요구하는 서류가 무엇인지 기입하시오. (예: 준수동의서, 귀사의 정의 양식 등)</t>
  </si>
  <si>
    <t>C. 귀사의 1차 협력사에게 분쟁기여 광물 사용 금지를 요구하고 있습니까? (*)</t>
  </si>
  <si>
    <t>介绍</t>
  </si>
  <si>
    <t>始めに</t>
  </si>
  <si>
    <t>項目</t>
  </si>
  <si>
    <t>定義</t>
  </si>
  <si>
    <t>コンゴ民主共和国</t>
  </si>
  <si>
    <t>電子業界CSRアライアンス（Electronics Industry Citizenship Coalition）（www.eicc.info）</t>
  </si>
  <si>
    <t>グローバル・eサステナビリティ・イニシアティブ（Global e-Sustainability Initiative）（www.gesi.org）</t>
  </si>
  <si>
    <t>経済協力開発機構（Organization for Economic Co-operation and Development）</t>
  </si>
  <si>
    <t>米国証券取引委員会（Security Exchange Commision）（www.sec.gov）</t>
  </si>
  <si>
    <t>紛争鉱物報告テンプレート</t>
  </si>
  <si>
    <t>この文書は製品に使用された錫、タンタル、タングステン、金の調達先情報を収集することを目的としています。</t>
  </si>
  <si>
    <t>答え</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</si>
  <si>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</si>
  <si>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</si>
  <si>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</si>
  <si>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</si>
  <si>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</si>
  <si>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</si>
  <si>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代表者の役職:</t>
  </si>
  <si>
    <t>代表者の電子メール(*):</t>
  </si>
  <si>
    <t>代表者の電話番号:</t>
  </si>
  <si>
    <t xml:space="preserve"> 記入日(*):</t>
  </si>
  <si>
    <t>１）以下の金属は御社が製造又は製造契約を締結している製品の機能性又は生産に必要ですか？すべての金属が「いいえ」の場合、この調査はここで終了となります。(*)</t>
  </si>
  <si>
    <t>B.その方針は御社のホームページで閲覧できますか？(*)</t>
  </si>
  <si>
    <t>C.一次サプライヤーに対してDRCコンフリクトフリーであることを要請していますか？(*)</t>
  </si>
  <si>
    <t>タンタル（Ta）(*)</t>
  </si>
  <si>
    <t>錫（Sn）(*)</t>
  </si>
  <si>
    <t>金（Au）(*)</t>
  </si>
  <si>
    <t>タングステン（W）(*)</t>
  </si>
  <si>
    <t>製錬施設連絡先担当者名</t>
  </si>
  <si>
    <t>製錬施設連絡先電子メール</t>
  </si>
  <si>
    <t>次に取る対策（該当する場合のみ回答）</t>
  </si>
  <si>
    <t>金属</t>
  </si>
  <si>
    <t>금속</t>
  </si>
  <si>
    <t>Jared Connors, Intel</t>
  </si>
  <si>
    <t>1) 다음의 금속 중 귀사가 제조하는 제품이거나 제조하기로 계약한 제품의 생산과 기능에 필요한 금속이 있습니까? "아니오"라고 답한 경우, 이 설문은 완료됩니다. (*)</t>
  </si>
  <si>
    <t>隣接国
Adjoining Country</t>
  </si>
  <si>
    <t>CFS Program</t>
  </si>
  <si>
    <t>CFSプログラム
CFS Program</t>
  </si>
  <si>
    <t>紛争鉱物
Conflict Mineral</t>
  </si>
  <si>
    <t>DRCコンフリクトフリー
DRC Conflict-Free</t>
  </si>
  <si>
    <t>Recycled and Scrap Materials</t>
  </si>
  <si>
    <t>再生材及びスクラップ
Recycled and Scrap Materials</t>
  </si>
  <si>
    <t>Smelter</t>
  </si>
  <si>
    <t>製錬業者
Smelter</t>
  </si>
  <si>
    <t>Tantalum Smelter</t>
  </si>
  <si>
    <r>
      <t xml:space="preserve">Le programme Conflict Free Smelter ("Programme"), la liste des fonderies en règle (la "Liste") et les modèles et outils du Programme, incluant, sans limitation, le modèle de rapport sur les minerais de conflit (collectivement dénommés ci-après "Outils"), incluant, sans limitation, toutes les informations fournies ci-incluses, sont uniquement fournis à des fins informatives et sont actuels à la date ci-incluse. Toute inexactitude ou omission dans la Liste ou les Outils ne saurait être de la responsabilité de l'Electronic Citizenship Coalition, Incorporated, une entreprise non côtée du Delaware ("EICC") ou de la Global e-Sustainability Initiative, une organisation non gouvernementale internationale belge ("GeSI"). La décision d'utiliser ou non et/ou de comment utiliser tout ou portion de cette Liste ou l'un des Outils est prise </t>
    </r>
    <r>
      <rPr>
        <sz val="10"/>
        <rFont val="Calibri"/>
        <family val="2"/>
      </rPr>
      <t>à</t>
    </r>
    <r>
      <rPr>
        <sz val="10"/>
        <rFont val="Arial"/>
        <family val="2"/>
      </rPr>
      <t xml:space="preserve"> la seule et absolue discrétion de l'Utilisateur.</t>
    </r>
  </si>
  <si>
    <t>O Programa de Fundições Livres de Conflitos ("Programa") e a Lista de Fundições em Conformidade (a "Lista"), assim como modelos de programas e ferramentas, incluindo,e não se limitando, aos relatório de Minerais de Conflito ( "Ferramentas" coletivas), incluindo, também não se limitando, todas as informações nele previstos, são fornecidos apenas para fins informativos e estão atualizados até a data ali apresentada. Qualquer imprecisão ou omissão na lista ou em qualquer outra ferramenta não é da responsabilidade da Coalizão Indústria Eletrônica para Cidadania,Incorporada, uma organização privada de Delaware e capital fechado ("EIC"), ou da Iniciativa Global e-Sustainability, organização internacional belga de associação sem fins lucrativos ("GeSI"). O que define o conhecimento e/ou como usar toda, ou qualquer parte da lista, ou qualquer ferramenta é feita exclusivamente por meio do critério absoluto do Usuário. Antes de usar a lista ou qualquer outra ferramenta, você deve revisá-la com o seu próprio departamento jurídico. Nenhuma parte da lista ou qualquer outra ferramenta constitui aconselhamento jurídico. Uso da lista ou qualquer outra ferramenta é voluntária.</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</si>
  <si>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</si>
  <si>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</si>
  <si>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</si>
  <si>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r>
      <t>Ni EICC et ni GeSI ne donnent des déclarations ou garanties concernant la Liste ou les Outils. La Liste et les Outils sont fournis "TEL QUEL" et "TEL QUE DISPONIBLE". L'EICC et la GeSI nie par la présente toute garantie, de toute sorte, expresse, tacite ou autre, ou émanant du commerce ou des douanes, incluant sans limitation, toute garantie implicite de qualité marchande, de non contrefa</t>
    </r>
    <r>
      <rPr>
        <sz val="10"/>
        <rFont val="Calibri"/>
        <family val="2"/>
      </rPr>
      <t>ç</t>
    </r>
    <r>
      <rPr>
        <sz val="10"/>
        <rFont val="Arial"/>
        <family val="2"/>
      </rPr>
      <t>on, de qualité, de titre, de mod</t>
    </r>
    <r>
      <rPr>
        <sz val="10"/>
        <rFont val="Calibri"/>
        <family val="2"/>
      </rPr>
      <t>è</t>
    </r>
    <r>
      <rPr>
        <sz val="10"/>
        <rFont val="Arial"/>
        <family val="2"/>
      </rPr>
      <t>le pour un but particulier, de complétude et d'exactitude.</t>
    </r>
  </si>
  <si>
    <t>Nem EICC nem GeSI, fazem quaisquer representações ou garantias com relação à lista ou qualquer outra ferramenta. A Lista e quaisquer Ferramentas são fornecidas "COMO SÃO" e COM BASE EM INFORMAÇÕES  "DISPONÍVEIS". EICC e GeSI  se isentam de todas as garantias de qualquer natureza, expressa, implícita ou não, ou decorrentes do comércio ou de costume, incluindo, não se limitando à, integralidade quaisquer garantias implícitas de comercialização, não infração, qualidade, título, adequação a uma finalidade específica, ou precisão.</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</si>
  <si>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</si>
  <si>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 xml:space="preserve">根据相关法律所允许的最大限度，EICC和GeSI声明拒绝任何损失，费用或任何性质的损害之责任，这包括但不限于，因用户使用清单或任何工具而造成特殊的，偶然的，惩罚性的，直接的，间接的或后果性损害或失去收入或利润，无论是在侵权，合同，章程，或以其他方式造成的损害，即使他们已被告知有这种损害的可能性。
</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</si>
  <si>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</si>
  <si>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Comments and Attachments</t>
  </si>
  <si>
    <t>Address:</t>
  </si>
  <si>
    <t>4.  귀사의 주소를 기입하십시오. (시, 구, 동, 우편번호 등)</t>
  </si>
  <si>
    <t>4. Inscrire ici l’adresse complète de votre entreprise (rue, ville, État, pays, code postal,…)</t>
  </si>
  <si>
    <t xml:space="preserve">4. Insira o endereço completo de sua organização (avenida/rua, cidade, país, código postal. </t>
  </si>
  <si>
    <t>4. Geben sie ihre komplette Firmenadresse (Strasse, Stadt, Bundesland, Land, Postleitzahl) ein.</t>
  </si>
  <si>
    <t>5. 请列出负责确保此模板资料准确性的公司授权管理代表</t>
  </si>
  <si>
    <t>5.  このテンプレートの回答データの正確性に責任を有する、管理代表者を記入してください。</t>
  </si>
  <si>
    <t>5.  이 템플릿에 기입되는 정보의 정확도를 책임질 수 있는 담당직원 성명을 기입하십시오.</t>
  </si>
  <si>
    <r>
      <t>5.</t>
    </r>
    <r>
      <rPr>
        <sz val="7"/>
        <color indexed="8"/>
        <rFont val="Times New Roman"/>
        <family val="1"/>
      </rPr>
      <t xml:space="preserve">     </t>
    </r>
    <r>
      <rPr>
        <sz val="10"/>
        <rFont val="Verdana"/>
        <family val="2"/>
      </rPr>
      <t>Merci d’indiquer le nom d’une personne légalement autorisée par votre entreprise, responsable de l’exactitude des informations fournies dans ce rapport</t>
    </r>
  </si>
  <si>
    <t xml:space="preserve">5. Por favor, identificar o representante da empresa responsável pela acuracidade dos dados neste formulário.  </t>
  </si>
  <si>
    <t xml:space="preserve">5. Bitte geben sie den bevollmächtigten Geschäftsleitungsvertreter, der für die Richtigkeit der eingegeben Daten in diesem Arbeitsblatt verantwortlich ist, ein. </t>
  </si>
  <si>
    <t>7.请使用日-月-年的格式，输入此模板的完成日期</t>
  </si>
  <si>
    <t>7.このテンプレートの作成日をDD-MMM-YYYY（例: 01-JAN-2012）の形式で記入してください。</t>
  </si>
  <si>
    <t>7.  이 템플릿 작성을 완료한 날짜를 기입하십시오. 날짜는 DD-MMM-YYYY (예: 12-Jul-2012)</t>
  </si>
  <si>
    <t>7. Merci de préciser la date à laquelle vous avez complété ce rapport en utilisant le format suivant JJ-MM-AAAA</t>
  </si>
  <si>
    <t>7. Por favor, entre com os dados de finalização de preenchimento deste formulário com o formato DD-MM-AAAA</t>
  </si>
  <si>
    <t>8. 文件存档的命名方式为：公司名称-日期.xls （日期格式为年-月-日）</t>
  </si>
  <si>
    <t>8.ファイル名を「会社名-日付.xls」として保存します（日付はYYYY-MM-DDで記述）。</t>
  </si>
  <si>
    <t>8.  파일 저장 방법 : 기업명_날짜.xls (날짜는 YYYY-MM-DD, 예: 2012-08-01)</t>
  </si>
  <si>
    <t>8. Merci de sauvegarder le rapport sous la convention nominale suivante : nomdelentreprise-date.xls (date au format AAAA-MM-JJ)</t>
  </si>
  <si>
    <t>8. Salve o arquivo como: nomedaempresa-data.xls (data como AAAA-MM-DD)</t>
  </si>
  <si>
    <t>6道尽职调查问题的填写说明（第21-51行）。只限英文作答</t>
  </si>
  <si>
    <t>6つのデューデリジェンスに関する質問（21～51行）に対する解説
回答は英語（半角）で入力してください。</t>
  </si>
  <si>
    <t>기업 정보 입력 안내서(21-51줄).
답변은 반드시 영어로 기입해야 합니다.</t>
  </si>
  <si>
    <t>Instructions pour répondre aux six questions relatives au Devoir de Diligence (lignes 20 à 46)
Merci de répondre en anglais uniquement</t>
  </si>
  <si>
    <t>Green Status Pro</t>
  </si>
  <si>
    <t>A999666333000</t>
  </si>
  <si>
    <t>100 F Street, NE, Washington, DC 20549</t>
  </si>
  <si>
    <t>Leo de Nevi</t>
  </si>
  <si>
    <t>Chief Technology Officer</t>
  </si>
  <si>
    <t>leo.denevi@greenstatuspro.com</t>
  </si>
  <si>
    <t>(555) 555-1234</t>
  </si>
  <si>
    <t>Yes</t>
  </si>
  <si>
    <t>No</t>
  </si>
  <si>
    <t>Uncertain or Unknown</t>
  </si>
  <si>
    <t>No but &gt; 75%</t>
  </si>
  <si>
    <t>Yes all smelters have been provided</t>
  </si>
  <si>
    <t>http://company/policy</t>
  </si>
  <si>
    <t>Alpha Metal</t>
  </si>
  <si>
    <t>We run GSP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</si>
</sst>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yy;@"/>
    <numFmt numFmtId="166" formatCode="000"/>
  </numFmts>
  <fonts count="74">
    <font>
      <sz val="10"/>
      <name val="Verdana"/>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sz val="12"/>
      <name val="Verdana"/>
      <family val="2"/>
    </font>
    <font>
      <b/>
      <sz val="10"/>
      <name val="Verdana"/>
      <family val="2"/>
    </font>
    <font>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22"/>
      <name val="Cambria"/>
      <family val="1"/>
    </font>
    <font>
      <b/>
      <sz val="10"/>
      <name val="Arial"/>
      <family val="2"/>
    </font>
    <font>
      <b/>
      <sz val="12"/>
      <name val="Arial"/>
      <family val="2"/>
    </font>
    <font>
      <sz val="20"/>
      <name val="Arial"/>
      <family val="2"/>
    </font>
    <font>
      <sz val="14"/>
      <name val="Arial"/>
      <family val="2"/>
    </font>
    <font>
      <b/>
      <sz val="8"/>
      <name val="Arial"/>
      <family val="2"/>
    </font>
    <font>
      <b/>
      <sz val="9"/>
      <name val="Arial"/>
      <family val="2"/>
    </font>
    <font>
      <sz val="11"/>
      <name val="Arial"/>
      <family val="2"/>
    </font>
    <font>
      <b/>
      <sz val="12"/>
      <color indexed="8"/>
      <name val="Arial"/>
      <family val="2"/>
    </font>
    <font>
      <sz val="12"/>
      <name val="Arial"/>
      <family val="2"/>
    </font>
    <font>
      <b/>
      <sz val="14"/>
      <color indexed="8"/>
      <name val="Arial"/>
      <family val="2"/>
    </font>
    <font>
      <b/>
      <sz val="16"/>
      <color indexed="8"/>
      <name val="Arial"/>
      <family val="2"/>
    </font>
    <font>
      <b/>
      <sz val="12"/>
      <color indexed="8"/>
      <name val="Arial"/>
      <family val="2"/>
    </font>
    <font>
      <b/>
      <sz val="18"/>
      <name val="Arial"/>
      <family val="2"/>
    </font>
    <font>
      <sz val="16"/>
      <name val="Tahoma"/>
      <family val="2"/>
    </font>
    <font>
      <i/>
      <sz val="12"/>
      <name val="Arial"/>
      <family val="2"/>
    </font>
    <font>
      <sz val="12"/>
      <color indexed="8"/>
      <name val="Arial"/>
      <family val="2"/>
    </font>
    <font>
      <b/>
      <sz val="12"/>
      <name val="Tahoma"/>
      <family val="2"/>
    </font>
    <font>
      <b/>
      <sz val="14"/>
      <name val="Arial"/>
      <family val="2"/>
    </font>
    <font>
      <b/>
      <i/>
      <sz val="12"/>
      <name val="Arial"/>
      <family val="2"/>
    </font>
    <font>
      <b/>
      <u/>
      <sz val="10"/>
      <name val="Verdana"/>
      <family val="2"/>
    </font>
    <font>
      <b/>
      <u/>
      <sz val="11"/>
      <name val="Verdana"/>
      <family val="2"/>
    </font>
    <font>
      <b/>
      <u/>
      <sz val="11"/>
      <name val="Cambria"/>
      <family val="1"/>
    </font>
    <font>
      <b/>
      <u/>
      <sz val="14"/>
      <name val="Verdana"/>
      <family val="2"/>
    </font>
    <font>
      <sz val="9"/>
      <color indexed="81"/>
      <name val="Tahoma"/>
      <family val="2"/>
    </font>
    <font>
      <sz val="12"/>
      <color indexed="81"/>
      <name val="Tahoma"/>
      <family val="2"/>
    </font>
    <font>
      <b/>
      <sz val="8"/>
      <name val="Cambria"/>
      <family val="1"/>
    </font>
    <font>
      <b/>
      <sz val="9"/>
      <name val="Verdana"/>
      <family val="2"/>
    </font>
    <font>
      <u/>
      <sz val="11"/>
      <color indexed="12"/>
      <name val="Verdana"/>
      <family val="2"/>
    </font>
    <font>
      <b/>
      <sz val="14"/>
      <color indexed="10"/>
      <name val="Cambria"/>
      <family val="1"/>
    </font>
    <font>
      <b/>
      <sz val="9"/>
      <color indexed="81"/>
      <name val="Tahoma"/>
      <family val="2"/>
    </font>
    <font>
      <u/>
      <sz val="14"/>
      <color indexed="12"/>
      <name val="Verdana"/>
      <family val="2"/>
    </font>
    <font>
      <b/>
      <i/>
      <sz val="10"/>
      <name val="Verdana"/>
      <family val="2"/>
    </font>
    <font>
      <u/>
      <sz val="12"/>
      <color indexed="12"/>
      <name val="Verdana"/>
      <family val="2"/>
    </font>
    <font>
      <b/>
      <sz val="22"/>
      <name val="Verdana"/>
      <family val="2"/>
    </font>
    <font>
      <b/>
      <sz val="10"/>
      <color indexed="8"/>
      <name val="Arial"/>
      <family val="2"/>
    </font>
    <font>
      <i/>
      <sz val="10"/>
      <color indexed="8"/>
      <name val="Arial"/>
      <family val="2"/>
    </font>
    <font>
      <sz val="7"/>
      <color indexed="8"/>
      <name val="Times New Roman"/>
      <family val="1"/>
    </font>
    <font>
      <b/>
      <i/>
      <sz val="18"/>
      <name val="Arial"/>
      <family val="2"/>
    </font>
    <font>
      <sz val="10"/>
      <name val="Calibri"/>
      <family val="2"/>
    </font>
    <font>
      <sz val="10"/>
      <color indexed="8"/>
      <name val="Calibri"/>
      <family val="2"/>
    </font>
    <font>
      <u/>
      <sz val="16"/>
      <color indexed="12"/>
      <name val="Verdana"/>
      <family val="2"/>
    </font>
    <font>
      <sz val="7"/>
      <name val="Verdana"/>
      <family val="2"/>
    </font>
    <font>
      <u/>
      <sz val="16"/>
      <color indexed="12"/>
      <name val="Cambria"/>
      <family val="1"/>
    </font>
    <font>
      <b/>
      <sz val="12"/>
      <color indexed="9"/>
      <name val="Cambria"/>
      <family val="1"/>
    </font>
    <font>
      <sz val="12"/>
      <color indexed="9"/>
      <name val="Cambria"/>
      <family val="1"/>
    </font>
    <font>
      <sz val="10"/>
      <color indexed="9"/>
      <name val="Verdana"/>
      <family val="2"/>
    </font>
    <font>
      <sz val="8"/>
      <color indexed="81"/>
      <name val="Tahoma"/>
      <family val="2"/>
    </font>
    <font>
      <sz val="10"/>
      <color indexed="9"/>
      <name val="Cambria"/>
      <family val="1"/>
    </font>
    <font>
      <u/>
      <sz val="10"/>
      <color indexed="12"/>
      <name val="Verdana"/>
      <family val="2"/>
    </font>
    <font>
      <sz val="12"/>
      <name val="Cambria"/>
      <family val="2"/>
    </font>
    <font>
      <sz val="12"/>
      <name val="Times New Roman"/>
      <family val="1"/>
    </font>
    <font>
      <sz val="12"/>
      <name val="ＭＳ Ｐ明朝"/>
      <family val="1"/>
      <charset val="128"/>
    </font>
    <font>
      <sz val="11"/>
      <color theme="1"/>
      <name val="Calibri"/>
      <family val="2"/>
      <scheme val="minor"/>
    </font>
  </fonts>
  <fills count="4">
    <fill>
      <patternFill patternType="none"/>
    </fill>
    <fill>
      <patternFill patternType="gray125"/>
    </fill>
    <fill>
      <patternFill patternType="solid">
        <fgColor indexed="65"/>
        <bgColor indexed="64"/>
      </patternFill>
    </fill>
    <fill>
      <patternFill patternType="darkUp"/>
    </fill>
  </fills>
  <borders count="47">
    <border>
      <left/>
      <right/>
      <top/>
      <bottom/>
      <diagonal/>
    </border>
    <border>
      <left style="thin">
        <color indexed="56"/>
      </left>
      <right style="thin">
        <color indexed="56"/>
      </right>
      <top style="thin">
        <color indexed="56"/>
      </top>
      <bottom style="thin">
        <color indexed="56"/>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ck">
        <color indexed="56"/>
      </left>
      <right/>
      <top style="thick">
        <color indexed="56"/>
      </top>
      <bottom/>
      <diagonal/>
    </border>
    <border>
      <left/>
      <right/>
      <top style="thick">
        <color indexed="56"/>
      </top>
      <bottom/>
      <diagonal/>
    </border>
    <border>
      <left/>
      <right style="thick">
        <color indexed="56"/>
      </right>
      <top style="thick">
        <color indexed="56"/>
      </top>
      <bottom/>
      <diagonal/>
    </border>
    <border>
      <left style="thick">
        <color indexed="56"/>
      </left>
      <right/>
      <top/>
      <bottom/>
      <diagonal/>
    </border>
    <border>
      <left style="thin">
        <color indexed="56"/>
      </left>
      <right style="thin">
        <color indexed="56"/>
      </right>
      <top/>
      <bottom/>
      <diagonal/>
    </border>
    <border>
      <left/>
      <right/>
      <top/>
      <bottom style="thin">
        <color indexed="56"/>
      </bottom>
      <diagonal/>
    </border>
    <border>
      <left/>
      <right/>
      <top style="thin">
        <color indexed="56"/>
      </top>
      <bottom/>
      <diagonal/>
    </border>
    <border>
      <left/>
      <right/>
      <top style="thin">
        <color indexed="56"/>
      </top>
      <bottom style="thin">
        <color indexed="56"/>
      </bottom>
      <diagonal/>
    </border>
    <border>
      <left/>
      <right style="thin">
        <color indexed="56"/>
      </right>
      <top/>
      <bottom/>
      <diagonal/>
    </border>
    <border>
      <left/>
      <right/>
      <top/>
      <bottom style="thin">
        <color indexed="9"/>
      </bottom>
      <diagonal/>
    </border>
    <border>
      <left/>
      <right style="thick">
        <color indexed="56"/>
      </right>
      <top/>
      <bottom/>
      <diagonal/>
    </border>
    <border>
      <left/>
      <right style="thick">
        <color indexed="56"/>
      </right>
      <top/>
      <bottom style="thick">
        <color indexed="56"/>
      </bottom>
      <diagonal/>
    </border>
    <border>
      <left style="thin">
        <color indexed="56"/>
      </left>
      <right style="thin">
        <color indexed="56"/>
      </right>
      <top/>
      <bottom style="thin">
        <color indexed="56"/>
      </bottom>
      <diagonal/>
    </border>
    <border>
      <left/>
      <right style="thick">
        <color indexed="56"/>
      </right>
      <top style="thin">
        <color indexed="56"/>
      </top>
      <bottom/>
      <diagonal/>
    </border>
    <border>
      <left style="thick">
        <color indexed="56"/>
      </left>
      <right/>
      <top/>
      <bottom style="thin">
        <color indexed="56"/>
      </bottom>
      <diagonal/>
    </border>
    <border>
      <left style="thin">
        <color indexed="56"/>
      </left>
      <right/>
      <top/>
      <bottom style="thin">
        <color indexed="56"/>
      </bottom>
      <diagonal/>
    </border>
    <border>
      <left/>
      <right style="thick">
        <color indexed="56"/>
      </right>
      <top/>
      <bottom style="thin">
        <color indexed="56"/>
      </bottom>
      <diagonal/>
    </border>
    <border>
      <left style="thick">
        <color indexed="56"/>
      </left>
      <right/>
      <top style="thin">
        <color indexed="56"/>
      </top>
      <bottom/>
      <diagonal/>
    </border>
    <border>
      <left style="thick">
        <color indexed="56"/>
      </left>
      <right style="thin">
        <color indexed="56"/>
      </right>
      <top/>
      <bottom/>
      <diagonal/>
    </border>
    <border>
      <left style="thin">
        <color indexed="56"/>
      </left>
      <right style="thick">
        <color indexed="56"/>
      </right>
      <top/>
      <bottom/>
      <diagonal/>
    </border>
    <border>
      <left style="thin">
        <color indexed="56"/>
      </left>
      <right/>
      <top style="thin">
        <color indexed="56"/>
      </top>
      <bottom/>
      <diagonal/>
    </border>
    <border>
      <left style="thin">
        <color indexed="64"/>
      </left>
      <right/>
      <top/>
      <bottom/>
      <diagonal/>
    </border>
    <border>
      <left/>
      <right/>
      <top style="thin">
        <color indexed="64"/>
      </top>
      <bottom/>
      <diagonal/>
    </border>
    <border>
      <left style="thick">
        <color indexed="56"/>
      </left>
      <right/>
      <top/>
      <bottom style="thick">
        <color indexed="56"/>
      </bottom>
      <diagonal/>
    </border>
    <border>
      <left style="medium">
        <color indexed="64"/>
      </left>
      <right style="medium">
        <color indexed="64"/>
      </right>
      <top style="medium">
        <color indexed="64"/>
      </top>
      <bottom style="medium">
        <color indexed="64"/>
      </bottom>
      <diagonal/>
    </border>
    <border>
      <left style="thin">
        <color indexed="56"/>
      </left>
      <right/>
      <top style="thin">
        <color indexed="56"/>
      </top>
      <bottom style="thin">
        <color indexed="56"/>
      </bottom>
      <diagonal/>
    </border>
    <border>
      <left/>
      <right/>
      <top/>
      <bottom style="thick">
        <color indexed="56"/>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56"/>
      </right>
      <top style="thin">
        <color indexed="56"/>
      </top>
      <bottom style="thin">
        <color indexed="56"/>
      </bottom>
      <diagonal/>
    </border>
    <border>
      <left/>
      <right style="thin">
        <color indexed="56"/>
      </right>
      <top style="thin">
        <color indexed="56"/>
      </top>
      <bottom/>
      <diagonal/>
    </border>
    <border>
      <left style="thin">
        <color indexed="56"/>
      </left>
      <right style="thin">
        <color indexed="56"/>
      </right>
      <top style="thin">
        <color indexed="56"/>
      </top>
      <bottom/>
      <diagonal/>
    </border>
    <border>
      <left/>
      <right style="thin">
        <color indexed="56"/>
      </right>
      <top/>
      <bottom style="thin">
        <color indexed="56"/>
      </bottom>
      <diagonal/>
    </border>
    <border>
      <left style="thin">
        <color indexed="56"/>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s>
  <cellStyleXfs count="6">
    <xf numFmtId="0" fontId="0" fillId="0" borderId="0"/>
    <xf numFmtId="0" fontId="7" fillId="0" borderId="0" applyNumberFormat="0" applyFill="0" applyBorder="0" applyAlignment="0" applyProtection="0">
      <alignment vertical="top"/>
      <protection locked="0"/>
    </xf>
    <xf numFmtId="0" fontId="5" fillId="0" borderId="0"/>
    <xf numFmtId="0" fontId="6" fillId="0" borderId="0"/>
    <xf numFmtId="0" fontId="73" fillId="0" borderId="0"/>
    <xf numFmtId="0" fontId="12" fillId="0" borderId="0"/>
  </cellStyleXfs>
  <cellXfs count="341">
    <xf numFmtId="0" fontId="0" fillId="0" borderId="0" xfId="0"/>
    <xf numFmtId="0" fontId="0" fillId="2" borderId="0" xfId="0" applyFill="1"/>
    <xf numFmtId="0" fontId="10" fillId="0" borderId="0" xfId="0" applyFont="1" applyAlignment="1">
      <alignment horizontal="center"/>
    </xf>
    <xf numFmtId="0" fontId="13" fillId="2" borderId="0" xfId="0" applyFont="1" applyFill="1" applyBorder="1" applyAlignment="1">
      <alignment horizontal="center" vertical="center"/>
    </xf>
    <xf numFmtId="0" fontId="6" fillId="2" borderId="0" xfId="0" applyFont="1" applyFill="1" applyBorder="1"/>
    <xf numFmtId="0" fontId="10" fillId="2" borderId="0" xfId="0" applyFont="1" applyFill="1" applyBorder="1"/>
    <xf numFmtId="0" fontId="17" fillId="2" borderId="1" xfId="0" applyFont="1" applyFill="1" applyBorder="1" applyAlignment="1" applyProtection="1">
      <alignment wrapText="1"/>
      <protection locked="0"/>
    </xf>
    <xf numFmtId="0" fontId="6" fillId="0" borderId="0" xfId="0" applyFont="1"/>
    <xf numFmtId="0" fontId="16" fillId="2" borderId="0" xfId="0" applyFont="1" applyFill="1" applyBorder="1" applyAlignment="1">
      <alignment horizontal="center" vertical="center" wrapText="1"/>
    </xf>
    <xf numFmtId="0" fontId="25" fillId="2" borderId="2"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12" fillId="2" borderId="0" xfId="5" applyFont="1" applyFill="1" applyBorder="1"/>
    <xf numFmtId="0" fontId="31" fillId="2" borderId="0" xfId="5" applyFont="1" applyFill="1" applyBorder="1" applyAlignment="1">
      <alignment horizontal="left"/>
    </xf>
    <xf numFmtId="0" fontId="32" fillId="2" borderId="4" xfId="5" applyFont="1" applyFill="1" applyBorder="1" applyAlignment="1">
      <alignment horizontal="center" wrapText="1"/>
    </xf>
    <xf numFmtId="0" fontId="32" fillId="2" borderId="5" xfId="5" applyFont="1" applyFill="1" applyBorder="1" applyAlignment="1">
      <alignment horizontal="center" wrapText="1"/>
    </xf>
    <xf numFmtId="0" fontId="22" fillId="2" borderId="5" xfId="5" applyFont="1" applyFill="1" applyBorder="1" applyAlignment="1">
      <alignment horizontal="center" wrapText="1"/>
    </xf>
    <xf numFmtId="0" fontId="29" fillId="2" borderId="6" xfId="5" applyFont="1" applyFill="1" applyBorder="1" applyAlignment="1">
      <alignment horizontal="center" vertical="center" wrapText="1"/>
    </xf>
    <xf numFmtId="0" fontId="29" fillId="2" borderId="7" xfId="5" applyFont="1" applyFill="1" applyBorder="1" applyAlignment="1">
      <alignment vertical="center" wrapText="1"/>
    </xf>
    <xf numFmtId="164" fontId="29" fillId="2" borderId="7" xfId="5" applyNumberFormat="1" applyFont="1" applyFill="1" applyBorder="1" applyAlignment="1">
      <alignment horizontal="center" vertical="center" wrapText="1"/>
    </xf>
    <xf numFmtId="0" fontId="29" fillId="2" borderId="6" xfId="5" applyFont="1" applyFill="1" applyBorder="1" applyAlignment="1">
      <alignment horizontal="center" vertical="top" wrapText="1"/>
    </xf>
    <xf numFmtId="0" fontId="29" fillId="2" borderId="7" xfId="5" applyFont="1" applyFill="1" applyBorder="1" applyAlignment="1">
      <alignment vertical="top" wrapText="1"/>
    </xf>
    <xf numFmtId="164" fontId="29" fillId="2" borderId="7" xfId="5" applyNumberFormat="1" applyFont="1" applyFill="1" applyBorder="1" applyAlignment="1">
      <alignment horizontal="center" vertical="top" wrapText="1"/>
    </xf>
    <xf numFmtId="0" fontId="0" fillId="2" borderId="0" xfId="0" applyFont="1" applyFill="1" applyBorder="1"/>
    <xf numFmtId="0" fontId="0" fillId="2" borderId="8" xfId="0" applyFont="1" applyFill="1" applyBorder="1" applyAlignment="1">
      <alignment vertical="top" wrapText="1"/>
    </xf>
    <xf numFmtId="0" fontId="0" fillId="2" borderId="9" xfId="0" applyFont="1" applyFill="1" applyBorder="1" applyAlignment="1">
      <alignment vertical="top" wrapText="1"/>
    </xf>
    <xf numFmtId="0" fontId="0" fillId="2" borderId="10" xfId="0" applyFont="1" applyFill="1" applyBorder="1"/>
    <xf numFmtId="0" fontId="0" fillId="2" borderId="0" xfId="0" applyFill="1" applyProtection="1"/>
    <xf numFmtId="0" fontId="0" fillId="2" borderId="11" xfId="0" applyFill="1" applyBorder="1" applyAlignment="1" applyProtection="1">
      <alignment vertical="top" wrapText="1"/>
    </xf>
    <xf numFmtId="0" fontId="14" fillId="2" borderId="1" xfId="0" applyFont="1" applyFill="1" applyBorder="1" applyAlignment="1" applyProtection="1">
      <alignment vertical="center" wrapText="1"/>
    </xf>
    <xf numFmtId="0" fontId="13" fillId="2" borderId="12" xfId="0" applyFont="1" applyFill="1" applyBorder="1" applyAlignment="1" applyProtection="1">
      <alignment vertical="center"/>
    </xf>
    <xf numFmtId="0" fontId="10" fillId="2" borderId="0" xfId="0" applyFont="1" applyFill="1" applyProtection="1"/>
    <xf numFmtId="0" fontId="0" fillId="2" borderId="0" xfId="0" applyFill="1" applyAlignment="1" applyProtection="1">
      <alignment vertical="top" wrapText="1"/>
    </xf>
    <xf numFmtId="0" fontId="13" fillId="2" borderId="11" xfId="0" applyFont="1" applyFill="1" applyBorder="1" applyAlignment="1" applyProtection="1">
      <alignment vertical="center"/>
    </xf>
    <xf numFmtId="0" fontId="13" fillId="2" borderId="0" xfId="0" applyFont="1" applyFill="1" applyBorder="1" applyAlignment="1" applyProtection="1">
      <alignment vertical="center"/>
    </xf>
    <xf numFmtId="0" fontId="19" fillId="2" borderId="0" xfId="0" applyFont="1" applyFill="1" applyBorder="1" applyAlignment="1" applyProtection="1">
      <alignment horizontal="left" wrapText="1"/>
    </xf>
    <xf numFmtId="0" fontId="19" fillId="2" borderId="13" xfId="0" applyFont="1" applyFill="1" applyBorder="1" applyAlignment="1" applyProtection="1">
      <alignment horizontal="left" vertical="center" wrapText="1"/>
    </xf>
    <xf numFmtId="0" fontId="17" fillId="2" borderId="0" xfId="0" applyFont="1" applyFill="1" applyBorder="1" applyAlignment="1" applyProtection="1">
      <alignment vertical="center"/>
    </xf>
    <xf numFmtId="0" fontId="11" fillId="2" borderId="11" xfId="0" applyFont="1" applyFill="1" applyBorder="1" applyAlignment="1" applyProtection="1"/>
    <xf numFmtId="0" fontId="0" fillId="2" borderId="11" xfId="0" applyFill="1" applyBorder="1" applyAlignment="1" applyProtection="1"/>
    <xf numFmtId="0" fontId="16" fillId="2" borderId="14" xfId="0" applyFont="1" applyFill="1" applyBorder="1" applyAlignment="1" applyProtection="1">
      <alignment horizontal="right" vertical="center"/>
    </xf>
    <xf numFmtId="0" fontId="16" fillId="2" borderId="0" xfId="0" applyFont="1" applyFill="1" applyBorder="1" applyAlignment="1" applyProtection="1">
      <alignment horizontal="right" vertical="center"/>
    </xf>
    <xf numFmtId="0" fontId="17" fillId="2" borderId="14" xfId="0" applyFont="1" applyFill="1" applyBorder="1" applyAlignment="1" applyProtection="1">
      <alignment horizontal="center" vertical="center"/>
    </xf>
    <xf numFmtId="0" fontId="17" fillId="2" borderId="14" xfId="0" applyFont="1" applyFill="1" applyBorder="1" applyAlignment="1" applyProtection="1">
      <alignment horizontal="left" vertical="center"/>
    </xf>
    <xf numFmtId="0" fontId="2" fillId="2" borderId="0" xfId="0" applyFont="1" applyFill="1" applyBorder="1" applyAlignment="1" applyProtection="1">
      <alignment horizontal="right"/>
    </xf>
    <xf numFmtId="0" fontId="13" fillId="2" borderId="0" xfId="0" applyFont="1" applyFill="1" applyBorder="1" applyAlignment="1" applyProtection="1">
      <alignment horizontal="left" vertical="center"/>
    </xf>
    <xf numFmtId="0" fontId="3" fillId="2" borderId="0" xfId="0" applyFont="1" applyFill="1" applyProtection="1"/>
    <xf numFmtId="0" fontId="17" fillId="2" borderId="12" xfId="0" applyFont="1" applyFill="1" applyBorder="1" applyAlignment="1" applyProtection="1">
      <alignment vertical="center"/>
    </xf>
    <xf numFmtId="0" fontId="9" fillId="2" borderId="11" xfId="0" applyFont="1" applyFill="1" applyBorder="1" applyAlignment="1" applyProtection="1">
      <alignment vertical="top" wrapText="1"/>
    </xf>
    <xf numFmtId="0" fontId="17" fillId="2" borderId="15" xfId="0" applyFont="1" applyFill="1" applyBorder="1" applyAlignment="1" applyProtection="1">
      <alignment horizontal="center" vertical="center"/>
    </xf>
    <xf numFmtId="0" fontId="3" fillId="2" borderId="11" xfId="0" applyFont="1" applyFill="1" applyBorder="1" applyAlignment="1" applyProtection="1">
      <alignment vertical="top" wrapText="1"/>
    </xf>
    <xf numFmtId="0" fontId="17" fillId="2" borderId="15" xfId="0" applyFont="1" applyFill="1" applyBorder="1" applyAlignment="1" applyProtection="1">
      <alignment horizontal="left" vertical="center"/>
    </xf>
    <xf numFmtId="0" fontId="17" fillId="2" borderId="15" xfId="0" applyFont="1" applyFill="1" applyBorder="1" applyAlignment="1" applyProtection="1">
      <alignment vertical="center"/>
    </xf>
    <xf numFmtId="0" fontId="17" fillId="2" borderId="0" xfId="0" applyFont="1" applyFill="1" applyBorder="1" applyAlignment="1" applyProtection="1">
      <alignment horizontal="center" vertical="center"/>
    </xf>
    <xf numFmtId="0" fontId="13" fillId="2" borderId="15" xfId="0" applyFont="1" applyFill="1" applyBorder="1" applyAlignment="1" applyProtection="1">
      <alignment horizontal="left" vertical="center"/>
    </xf>
    <xf numFmtId="0" fontId="13" fillId="2" borderId="15" xfId="0" applyFont="1" applyFill="1" applyBorder="1" applyAlignment="1" applyProtection="1">
      <alignment horizontal="center" vertical="center"/>
    </xf>
    <xf numFmtId="0" fontId="0" fillId="2" borderId="0" xfId="0" applyFill="1" applyAlignment="1" applyProtection="1">
      <alignment wrapText="1"/>
    </xf>
    <xf numFmtId="0" fontId="2" fillId="2" borderId="0" xfId="0" applyFont="1" applyFill="1" applyAlignment="1" applyProtection="1">
      <alignment wrapText="1"/>
    </xf>
    <xf numFmtId="0" fontId="17" fillId="2" borderId="1" xfId="0" applyFont="1" applyFill="1" applyBorder="1" applyAlignment="1" applyProtection="1">
      <alignment vertical="center" wrapText="1"/>
      <protection locked="0"/>
    </xf>
    <xf numFmtId="0" fontId="0" fillId="2" borderId="0" xfId="0" applyFill="1" applyAlignment="1" applyProtection="1">
      <alignment vertical="top"/>
    </xf>
    <xf numFmtId="0" fontId="13" fillId="2" borderId="16" xfId="0" applyFont="1" applyFill="1" applyBorder="1" applyAlignment="1" applyProtection="1">
      <alignment vertical="center"/>
    </xf>
    <xf numFmtId="0" fontId="10" fillId="2" borderId="0" xfId="0" applyFont="1" applyFill="1" applyBorder="1" applyProtection="1">
      <protection hidden="1"/>
    </xf>
    <xf numFmtId="0" fontId="13" fillId="2" borderId="0" xfId="0" applyFont="1" applyFill="1" applyBorder="1" applyAlignment="1" applyProtection="1">
      <alignment horizontal="center" vertical="top"/>
      <protection hidden="1"/>
    </xf>
    <xf numFmtId="0" fontId="16" fillId="2" borderId="1" xfId="0" applyFont="1" applyFill="1" applyBorder="1" applyAlignment="1" applyProtection="1">
      <alignment horizontal="right" vertical="center"/>
      <protection hidden="1"/>
    </xf>
    <xf numFmtId="0" fontId="16" fillId="2" borderId="13" xfId="0" applyFont="1" applyFill="1" applyBorder="1" applyAlignment="1" applyProtection="1">
      <alignment wrapText="1"/>
      <protection hidden="1"/>
    </xf>
    <xf numFmtId="0" fontId="13" fillId="2" borderId="0" xfId="0" applyFont="1" applyFill="1" applyBorder="1" applyAlignment="1" applyProtection="1">
      <alignment vertical="center"/>
      <protection hidden="1"/>
    </xf>
    <xf numFmtId="0" fontId="17" fillId="2" borderId="13" xfId="0" applyFont="1" applyFill="1" applyBorder="1" applyAlignment="1" applyProtection="1">
      <alignment horizontal="left" wrapText="1"/>
      <protection hidden="1"/>
    </xf>
    <xf numFmtId="0" fontId="17" fillId="2" borderId="0" xfId="0" applyFont="1" applyFill="1" applyBorder="1" applyAlignment="1" applyProtection="1">
      <alignment horizontal="left" wrapText="1"/>
      <protection hidden="1"/>
    </xf>
    <xf numFmtId="0" fontId="16" fillId="2" borderId="14" xfId="0" applyFont="1" applyFill="1" applyBorder="1" applyAlignment="1" applyProtection="1">
      <alignment horizontal="right" vertical="center"/>
      <protection hidden="1"/>
    </xf>
    <xf numFmtId="0" fontId="16" fillId="2" borderId="13" xfId="0" applyFont="1" applyFill="1" applyBorder="1" applyAlignment="1" applyProtection="1">
      <alignment horizontal="left" vertical="center" wrapText="1"/>
      <protection hidden="1"/>
    </xf>
    <xf numFmtId="0" fontId="17" fillId="2" borderId="1" xfId="0" applyFont="1" applyFill="1" applyBorder="1" applyAlignment="1" applyProtection="1">
      <alignment vertical="center" wrapText="1"/>
      <protection hidden="1"/>
    </xf>
    <xf numFmtId="0" fontId="17" fillId="2" borderId="15" xfId="0" applyFont="1" applyFill="1" applyBorder="1" applyAlignment="1" applyProtection="1">
      <alignment vertical="center" wrapText="1"/>
      <protection hidden="1"/>
    </xf>
    <xf numFmtId="2" fontId="18" fillId="2" borderId="15" xfId="0" applyNumberFormat="1" applyFont="1" applyFill="1" applyBorder="1" applyAlignment="1" applyProtection="1">
      <alignment horizontal="left" wrapText="1"/>
      <protection hidden="1"/>
    </xf>
    <xf numFmtId="0" fontId="17" fillId="2" borderId="15" xfId="0" applyFont="1" applyFill="1" applyBorder="1" applyAlignment="1" applyProtection="1">
      <alignment horizontal="center" vertical="center" wrapText="1"/>
      <protection hidden="1"/>
    </xf>
    <xf numFmtId="0" fontId="17" fillId="2" borderId="1" xfId="0" applyFont="1" applyFill="1" applyBorder="1" applyAlignment="1" applyProtection="1">
      <alignment horizontal="left" vertical="center" wrapText="1"/>
      <protection hidden="1"/>
    </xf>
    <xf numFmtId="0" fontId="13" fillId="2" borderId="15" xfId="0" applyFont="1" applyFill="1" applyBorder="1" applyAlignment="1" applyProtection="1">
      <alignment horizontal="left" vertical="center"/>
      <protection hidden="1"/>
    </xf>
    <xf numFmtId="0" fontId="0" fillId="2" borderId="0" xfId="0" applyFill="1" applyAlignment="1" applyProtection="1"/>
    <xf numFmtId="0" fontId="22" fillId="0" borderId="0" xfId="0" applyNumberFormat="1" applyFont="1" applyFill="1" applyAlignment="1" applyProtection="1">
      <alignment vertical="center" wrapText="1"/>
      <protection hidden="1"/>
    </xf>
    <xf numFmtId="0" fontId="34" fillId="3" borderId="0" xfId="0" applyFont="1" applyFill="1" applyAlignment="1" applyProtection="1">
      <alignment wrapText="1"/>
      <protection hidden="1"/>
    </xf>
    <xf numFmtId="0" fontId="0" fillId="0" borderId="0" xfId="0" applyProtection="1">
      <protection hidden="1"/>
    </xf>
    <xf numFmtId="0" fontId="16" fillId="2" borderId="17" xfId="0" applyFont="1" applyFill="1" applyBorder="1" applyAlignment="1" applyProtection="1">
      <alignment horizontal="left" wrapText="1"/>
      <protection hidden="1"/>
    </xf>
    <xf numFmtId="0" fontId="41" fillId="2" borderId="1" xfId="0" applyFont="1" applyFill="1" applyBorder="1" applyAlignment="1" applyProtection="1">
      <alignment horizontal="center" vertical="center"/>
      <protection locked="0" hidden="1"/>
    </xf>
    <xf numFmtId="0" fontId="6" fillId="0" borderId="0" xfId="0" applyFont="1" applyAlignment="1"/>
    <xf numFmtId="0" fontId="6" fillId="2" borderId="0" xfId="0" applyFont="1" applyFill="1" applyAlignment="1" applyProtection="1">
      <alignment vertical="top"/>
    </xf>
    <xf numFmtId="0" fontId="22" fillId="0" borderId="0" xfId="0" applyNumberFormat="1" applyFont="1" applyFill="1" applyAlignment="1">
      <alignment vertical="top"/>
    </xf>
    <xf numFmtId="0" fontId="33" fillId="0" borderId="0" xfId="0" applyFont="1" applyAlignment="1">
      <alignment vertical="top"/>
    </xf>
    <xf numFmtId="0" fontId="29" fillId="0" borderId="0" xfId="0" applyNumberFormat="1" applyFont="1" applyFill="1" applyAlignment="1">
      <alignment vertical="top"/>
    </xf>
    <xf numFmtId="0" fontId="29" fillId="0" borderId="0" xfId="0" applyFont="1" applyAlignment="1">
      <alignment horizontal="left" vertical="top"/>
    </xf>
    <xf numFmtId="0" fontId="29" fillId="0" borderId="0" xfId="0" applyFont="1" applyAlignment="1">
      <alignment vertical="top"/>
    </xf>
    <xf numFmtId="0" fontId="33" fillId="0" borderId="0" xfId="0" applyFont="1" applyFill="1" applyAlignment="1">
      <alignment vertical="top"/>
    </xf>
    <xf numFmtId="0" fontId="24" fillId="0" borderId="0" xfId="0" applyFont="1" applyFill="1" applyAlignment="1">
      <alignment vertical="top"/>
    </xf>
    <xf numFmtId="0" fontId="22" fillId="0" borderId="0" xfId="0" applyFont="1" applyAlignment="1">
      <alignment horizontal="left" vertical="top"/>
    </xf>
    <xf numFmtId="0" fontId="28" fillId="0" borderId="0" xfId="0" applyFont="1" applyAlignment="1">
      <alignment horizontal="left" vertical="top"/>
    </xf>
    <xf numFmtId="0" fontId="38" fillId="0" borderId="0" xfId="0" applyFont="1" applyAlignment="1">
      <alignment horizontal="left" vertical="top"/>
    </xf>
    <xf numFmtId="0" fontId="29" fillId="0" borderId="0" xfId="0" applyFont="1" applyAlignment="1"/>
    <xf numFmtId="0" fontId="10" fillId="2" borderId="0" xfId="0" applyFont="1" applyFill="1" applyAlignment="1" applyProtection="1"/>
    <xf numFmtId="0" fontId="10" fillId="2" borderId="0" xfId="0" applyFont="1" applyFill="1" applyAlignment="1" applyProtection="1">
      <alignment vertical="top"/>
    </xf>
    <xf numFmtId="0" fontId="10" fillId="0" borderId="0" xfId="0" applyFont="1" applyAlignment="1" applyProtection="1">
      <alignment horizontal="center"/>
      <protection hidden="1"/>
    </xf>
    <xf numFmtId="0" fontId="46" fillId="2" borderId="0" xfId="0" applyFont="1" applyFill="1" applyBorder="1" applyAlignment="1" applyProtection="1">
      <alignment vertical="center" wrapText="1"/>
    </xf>
    <xf numFmtId="0" fontId="2" fillId="2" borderId="1" xfId="0" applyFont="1" applyFill="1" applyBorder="1" applyAlignment="1" applyProtection="1">
      <alignment horizontal="left" vertical="top" wrapText="1"/>
      <protection hidden="1"/>
    </xf>
    <xf numFmtId="0" fontId="2" fillId="2" borderId="1" xfId="0" applyFont="1" applyFill="1" applyBorder="1" applyAlignment="1">
      <alignment horizontal="left" vertical="top"/>
    </xf>
    <xf numFmtId="0" fontId="2" fillId="2" borderId="1" xfId="0" applyFont="1" applyFill="1" applyBorder="1" applyAlignment="1">
      <alignment vertical="top"/>
    </xf>
    <xf numFmtId="0" fontId="37" fillId="2" borderId="1" xfId="0" applyFont="1" applyFill="1" applyBorder="1" applyAlignment="1">
      <alignment horizontal="left" vertical="top"/>
    </xf>
    <xf numFmtId="0" fontId="3" fillId="2" borderId="1" xfId="0" applyFont="1" applyFill="1" applyBorder="1" applyAlignment="1">
      <alignment vertical="top"/>
    </xf>
    <xf numFmtId="0" fontId="6" fillId="2" borderId="0" xfId="0" applyFont="1" applyFill="1"/>
    <xf numFmtId="0" fontId="1" fillId="2" borderId="18" xfId="0" applyFont="1" applyFill="1" applyBorder="1" applyAlignment="1" applyProtection="1">
      <alignment vertical="center"/>
    </xf>
    <xf numFmtId="0" fontId="1" fillId="2" borderId="19" xfId="0" applyFont="1" applyFill="1" applyBorder="1" applyAlignment="1" applyProtection="1">
      <alignment vertical="center"/>
    </xf>
    <xf numFmtId="0" fontId="6" fillId="2" borderId="0" xfId="0" applyFont="1" applyFill="1" applyAlignment="1" applyProtection="1"/>
    <xf numFmtId="0" fontId="16" fillId="2" borderId="17" xfId="0" applyFont="1" applyFill="1" applyBorder="1" applyAlignment="1" applyProtection="1">
      <alignment horizontal="center" wrapText="1"/>
      <protection hidden="1"/>
    </xf>
    <xf numFmtId="0" fontId="6" fillId="2" borderId="0" xfId="0" applyFont="1" applyFill="1" applyProtection="1"/>
    <xf numFmtId="0" fontId="7" fillId="2" borderId="16" xfId="1" applyFill="1" applyBorder="1" applyAlignment="1" applyProtection="1">
      <alignment horizontal="left" vertical="center"/>
    </xf>
    <xf numFmtId="0" fontId="6" fillId="2" borderId="0" xfId="0" applyFont="1" applyFill="1" applyAlignment="1" applyProtection="1">
      <alignment wrapText="1"/>
    </xf>
    <xf numFmtId="0" fontId="6" fillId="0" borderId="0" xfId="0" applyFont="1" applyAlignment="1" applyProtection="1">
      <alignment horizontal="center" wrapText="1"/>
      <protection hidden="1"/>
    </xf>
    <xf numFmtId="0" fontId="48" fillId="0" borderId="0" xfId="1" applyFont="1" applyFill="1" applyAlignment="1" applyProtection="1">
      <alignment horizontal="center"/>
      <protection hidden="1"/>
    </xf>
    <xf numFmtId="0" fontId="6" fillId="0" borderId="0" xfId="0" applyFont="1" applyFill="1" applyAlignment="1" applyProtection="1">
      <alignment horizontal="center" wrapText="1"/>
      <protection hidden="1"/>
    </xf>
    <xf numFmtId="0" fontId="6" fillId="0" borderId="0" xfId="0" applyFont="1" applyProtection="1">
      <protection hidden="1"/>
    </xf>
    <xf numFmtId="0" fontId="10" fillId="0" borderId="0" xfId="0" applyFont="1" applyAlignment="1" applyProtection="1">
      <alignment horizontal="center" wrapText="1"/>
      <protection hidden="1"/>
    </xf>
    <xf numFmtId="0" fontId="0" fillId="0" borderId="4" xfId="0" applyBorder="1" applyProtection="1">
      <protection hidden="1"/>
    </xf>
    <xf numFmtId="0" fontId="0" fillId="0" borderId="4" xfId="0" applyBorder="1" applyAlignment="1" applyProtection="1">
      <alignment wrapText="1"/>
      <protection hidden="1"/>
    </xf>
    <xf numFmtId="0" fontId="7" fillId="0" borderId="4" xfId="1" applyBorder="1" applyAlignment="1" applyProtection="1">
      <alignment wrapText="1"/>
      <protection hidden="1"/>
    </xf>
    <xf numFmtId="0" fontId="6" fillId="0" borderId="4" xfId="0" applyFont="1" applyBorder="1" applyAlignment="1" applyProtection="1">
      <alignment wrapText="1"/>
      <protection hidden="1"/>
    </xf>
    <xf numFmtId="0" fontId="0" fillId="0" borderId="4" xfId="0" applyBorder="1" applyAlignment="1" applyProtection="1">
      <alignment horizontal="left" vertical="top" wrapText="1"/>
      <protection hidden="1"/>
    </xf>
    <xf numFmtId="0" fontId="0" fillId="1" borderId="4" xfId="0" applyFill="1" applyBorder="1" applyAlignment="1" applyProtection="1">
      <alignment wrapText="1"/>
      <protection hidden="1"/>
    </xf>
    <xf numFmtId="0" fontId="0" fillId="0" borderId="4" xfId="0" applyBorder="1" applyAlignment="1" applyProtection="1">
      <alignment horizontal="right"/>
      <protection hidden="1"/>
    </xf>
    <xf numFmtId="0" fontId="0" fillId="0" borderId="0" xfId="0" applyAlignment="1" applyProtection="1">
      <alignment wrapText="1"/>
      <protection hidden="1"/>
    </xf>
    <xf numFmtId="0" fontId="52" fillId="0" borderId="0" xfId="0" applyFont="1" applyProtection="1">
      <protection hidden="1"/>
    </xf>
    <xf numFmtId="0" fontId="0" fillId="0" borderId="0" xfId="0" applyFill="1" applyBorder="1" applyProtection="1">
      <protection hidden="1"/>
    </xf>
    <xf numFmtId="0" fontId="0" fillId="2" borderId="0" xfId="0" applyFill="1" applyProtection="1">
      <protection hidden="1"/>
    </xf>
    <xf numFmtId="0" fontId="13" fillId="2" borderId="0" xfId="0" applyFont="1" applyFill="1" applyBorder="1" applyAlignment="1" applyProtection="1">
      <alignment horizontal="center" vertical="center" wrapText="1"/>
      <protection hidden="1"/>
    </xf>
    <xf numFmtId="0" fontId="20" fillId="2" borderId="0" xfId="1" applyFont="1" applyFill="1" applyBorder="1" applyAlignment="1" applyProtection="1">
      <alignment horizontal="center" vertical="center" wrapText="1"/>
      <protection hidden="1"/>
    </xf>
    <xf numFmtId="0" fontId="13" fillId="2" borderId="0" xfId="0" applyFont="1" applyFill="1" applyBorder="1" applyAlignment="1" applyProtection="1">
      <alignment vertical="center" wrapText="1"/>
      <protection hidden="1"/>
    </xf>
    <xf numFmtId="165" fontId="0" fillId="0" borderId="4" xfId="0" applyNumberFormat="1" applyBorder="1" applyAlignment="1" applyProtection="1">
      <alignment horizontal="left" wrapText="1"/>
      <protection hidden="1"/>
    </xf>
    <xf numFmtId="0" fontId="4" fillId="2" borderId="0" xfId="0" applyFont="1" applyFill="1" applyAlignment="1" applyProtection="1">
      <alignment horizontal="center" vertical="center" wrapText="1"/>
      <protection hidden="1"/>
    </xf>
    <xf numFmtId="0" fontId="6" fillId="0" borderId="0" xfId="0" applyFont="1" applyFill="1" applyProtection="1"/>
    <xf numFmtId="0" fontId="3" fillId="2" borderId="1" xfId="0" applyFont="1" applyFill="1" applyBorder="1" applyAlignment="1">
      <alignment horizontal="left" vertical="top"/>
    </xf>
    <xf numFmtId="0" fontId="16" fillId="2" borderId="0" xfId="0" applyFont="1" applyFill="1" applyBorder="1" applyAlignment="1" applyProtection="1">
      <alignment wrapText="1"/>
    </xf>
    <xf numFmtId="0" fontId="16" fillId="2" borderId="0" xfId="0" applyFont="1" applyFill="1" applyBorder="1" applyAlignment="1" applyProtection="1">
      <alignment horizontal="right" vertical="center"/>
      <protection hidden="1"/>
    </xf>
    <xf numFmtId="0" fontId="17" fillId="2" borderId="0" xfId="0" applyFont="1" applyFill="1" applyBorder="1" applyAlignment="1" applyProtection="1">
      <alignment horizontal="left" vertical="center"/>
    </xf>
    <xf numFmtId="0" fontId="13" fillId="2" borderId="18" xfId="0" applyFont="1" applyFill="1" applyBorder="1" applyAlignment="1" applyProtection="1">
      <alignment vertical="center"/>
    </xf>
    <xf numFmtId="0" fontId="0" fillId="2" borderId="0" xfId="0" applyFill="1" applyAlignment="1" applyProtection="1">
      <alignment wrapText="1"/>
      <protection locked="0"/>
    </xf>
    <xf numFmtId="0" fontId="6" fillId="0" borderId="0" xfId="0" applyFont="1" applyAlignment="1" applyProtection="1">
      <alignment horizontal="center"/>
      <protection hidden="1"/>
    </xf>
    <xf numFmtId="0" fontId="51" fillId="2" borderId="0" xfId="1" applyFont="1" applyFill="1" applyBorder="1" applyAlignment="1" applyProtection="1">
      <alignment horizontal="center" vertical="center"/>
    </xf>
    <xf numFmtId="0" fontId="41" fillId="2" borderId="0" xfId="0" applyFont="1" applyFill="1" applyBorder="1" applyAlignment="1" applyProtection="1">
      <alignment horizontal="center" vertical="center"/>
      <protection locked="0" hidden="1"/>
    </xf>
    <xf numFmtId="0" fontId="17" fillId="2" borderId="15" xfId="0" applyFont="1" applyFill="1" applyBorder="1" applyAlignment="1" applyProtection="1">
      <alignment vertical="center"/>
      <protection hidden="1"/>
    </xf>
    <xf numFmtId="0" fontId="0" fillId="2" borderId="0" xfId="0" applyFill="1" applyAlignment="1" applyProtection="1">
      <alignment horizontal="center"/>
    </xf>
    <xf numFmtId="0" fontId="16" fillId="2" borderId="20" xfId="0" applyFont="1" applyFill="1" applyBorder="1" applyAlignment="1" applyProtection="1">
      <alignment horizontal="right" vertical="center"/>
      <protection hidden="1"/>
    </xf>
    <xf numFmtId="0" fontId="16" fillId="2" borderId="13" xfId="0" applyFont="1" applyFill="1" applyBorder="1" applyAlignment="1" applyProtection="1">
      <alignment horizontal="left" wrapText="1"/>
      <protection hidden="1"/>
    </xf>
    <xf numFmtId="0" fontId="53" fillId="0" borderId="0" xfId="1" applyFont="1" applyAlignment="1" applyProtection="1">
      <alignment horizontal="center"/>
    </xf>
    <xf numFmtId="0" fontId="51" fillId="2" borderId="14" xfId="1" applyFont="1" applyFill="1" applyBorder="1" applyAlignment="1" applyProtection="1">
      <alignment vertical="center"/>
    </xf>
    <xf numFmtId="0" fontId="51" fillId="2" borderId="0" xfId="1" applyFont="1" applyFill="1" applyAlignment="1" applyProtection="1">
      <alignment vertical="center"/>
    </xf>
    <xf numFmtId="0" fontId="1" fillId="2" borderId="21" xfId="0" applyFont="1" applyFill="1" applyBorder="1" applyAlignment="1" applyProtection="1">
      <alignment vertical="center"/>
    </xf>
    <xf numFmtId="0" fontId="13" fillId="2" borderId="22" xfId="0" applyFont="1" applyFill="1" applyBorder="1" applyAlignment="1" applyProtection="1">
      <alignment vertical="center"/>
    </xf>
    <xf numFmtId="0" fontId="13" fillId="2" borderId="23" xfId="0" applyFont="1" applyFill="1" applyBorder="1" applyAlignment="1" applyProtection="1">
      <alignment vertical="center"/>
    </xf>
    <xf numFmtId="0" fontId="1" fillId="2" borderId="24" xfId="0" applyFont="1" applyFill="1" applyBorder="1" applyAlignment="1" applyProtection="1">
      <alignment vertical="center"/>
    </xf>
    <xf numFmtId="0" fontId="13" fillId="2" borderId="25" xfId="0" applyFont="1" applyFill="1" applyBorder="1" applyAlignment="1" applyProtection="1">
      <alignment vertical="center"/>
    </xf>
    <xf numFmtId="0" fontId="13" fillId="2" borderId="20" xfId="0" applyFont="1" applyFill="1" applyBorder="1" applyAlignment="1" applyProtection="1">
      <alignment vertical="center"/>
    </xf>
    <xf numFmtId="2" fontId="16" fillId="2" borderId="14" xfId="0" applyNumberFormat="1" applyFont="1" applyFill="1" applyBorder="1" applyAlignment="1" applyProtection="1">
      <alignment horizontal="left" vertical="center" wrapText="1"/>
    </xf>
    <xf numFmtId="0" fontId="16" fillId="2" borderId="15" xfId="0" applyFont="1" applyFill="1" applyBorder="1" applyAlignment="1" applyProtection="1">
      <alignment horizontal="left" wrapText="1"/>
      <protection hidden="1"/>
    </xf>
    <xf numFmtId="0" fontId="16" fillId="2" borderId="15" xfId="0" applyFont="1" applyFill="1" applyBorder="1" applyAlignment="1" applyProtection="1">
      <alignment horizontal="left"/>
      <protection hidden="1"/>
    </xf>
    <xf numFmtId="0" fontId="16" fillId="2" borderId="14" xfId="0" applyFont="1" applyFill="1" applyBorder="1" applyAlignment="1" applyProtection="1">
      <alignment horizontal="left"/>
      <protection hidden="1"/>
    </xf>
    <xf numFmtId="0" fontId="13" fillId="2" borderId="26" xfId="0" applyFont="1" applyFill="1" applyBorder="1" applyAlignment="1" applyProtection="1">
      <alignment vertical="center"/>
    </xf>
    <xf numFmtId="0" fontId="1" fillId="2" borderId="27" xfId="0" applyFont="1" applyFill="1" applyBorder="1" applyAlignment="1" applyProtection="1">
      <alignment vertical="center"/>
    </xf>
    <xf numFmtId="0" fontId="16" fillId="2" borderId="28" xfId="0" applyFont="1" applyFill="1" applyBorder="1" applyAlignment="1" applyProtection="1">
      <alignment wrapText="1"/>
    </xf>
    <xf numFmtId="2" fontId="16" fillId="2" borderId="15" xfId="0" applyNumberFormat="1" applyFont="1" applyFill="1" applyBorder="1" applyAlignment="1" applyProtection="1">
      <alignment horizontal="left" wrapText="1"/>
      <protection hidden="1"/>
    </xf>
    <xf numFmtId="0" fontId="0" fillId="0" borderId="0" xfId="0" applyAlignment="1"/>
    <xf numFmtId="0" fontId="33" fillId="0" borderId="0" xfId="0" applyFont="1" applyAlignment="1"/>
    <xf numFmtId="0" fontId="55" fillId="0" borderId="0" xfId="0" applyFont="1" applyAlignment="1">
      <alignment horizontal="center"/>
    </xf>
    <xf numFmtId="0" fontId="47" fillId="2" borderId="0" xfId="0" applyFont="1" applyFill="1" applyBorder="1" applyAlignment="1" applyProtection="1">
      <alignment horizontal="right" wrapText="1"/>
      <protection hidden="1"/>
    </xf>
    <xf numFmtId="0" fontId="0" fillId="0" borderId="0" xfId="0" applyFont="1" applyAlignment="1">
      <alignment horizontal="left"/>
    </xf>
    <xf numFmtId="0" fontId="0" fillId="0" borderId="0" xfId="0" applyAlignment="1">
      <alignment horizontal="left"/>
    </xf>
    <xf numFmtId="0" fontId="17" fillId="2" borderId="1" xfId="0" applyFont="1" applyFill="1" applyBorder="1" applyAlignment="1" applyProtection="1">
      <alignment wrapText="1"/>
      <protection locked="0" hidden="1"/>
    </xf>
    <xf numFmtId="0" fontId="17" fillId="2" borderId="1" xfId="0" applyFont="1" applyFill="1" applyBorder="1" applyAlignment="1" applyProtection="1">
      <alignment vertical="center" wrapText="1"/>
      <protection locked="0" hidden="1"/>
    </xf>
    <xf numFmtId="0" fontId="0" fillId="2" borderId="1" xfId="0" applyFill="1" applyBorder="1" applyAlignment="1" applyProtection="1">
      <alignment wrapText="1"/>
      <protection locked="0" hidden="1"/>
    </xf>
    <xf numFmtId="0" fontId="42" fillId="2" borderId="29" xfId="0" applyFont="1" applyFill="1" applyBorder="1" applyAlignment="1" applyProtection="1">
      <alignment horizontal="center" vertical="center" wrapText="1"/>
      <protection hidden="1"/>
    </xf>
    <xf numFmtId="0" fontId="10" fillId="2" borderId="0" xfId="0" applyFont="1" applyFill="1" applyAlignment="1" applyProtection="1">
      <alignment horizontal="center"/>
    </xf>
    <xf numFmtId="0" fontId="6" fillId="0" borderId="0" xfId="0" applyFont="1" applyAlignment="1">
      <alignment horizontal="center"/>
    </xf>
    <xf numFmtId="0" fontId="10" fillId="0" borderId="0" xfId="0" applyFont="1" applyProtection="1">
      <protection hidden="1"/>
    </xf>
    <xf numFmtId="0" fontId="0" fillId="0" borderId="4" xfId="0" applyFill="1" applyBorder="1" applyProtection="1">
      <protection hidden="1"/>
    </xf>
    <xf numFmtId="0" fontId="0" fillId="0" borderId="30" xfId="0" applyBorder="1" applyProtection="1">
      <protection hidden="1"/>
    </xf>
    <xf numFmtId="0" fontId="3" fillId="2" borderId="0" xfId="0" applyFont="1" applyFill="1" applyAlignment="1" applyProtection="1">
      <alignment wrapText="1"/>
    </xf>
    <xf numFmtId="0" fontId="64" fillId="2" borderId="0" xfId="0" applyFont="1" applyFill="1" applyBorder="1" applyAlignment="1" applyProtection="1">
      <alignment horizontal="right" vertical="center"/>
    </xf>
    <xf numFmtId="0" fontId="65" fillId="2" borderId="0" xfId="0" applyFont="1" applyFill="1" applyBorder="1" applyAlignment="1" applyProtection="1">
      <alignment horizontal="left" wrapText="1"/>
      <protection hidden="1"/>
    </xf>
    <xf numFmtId="0" fontId="65" fillId="2" borderId="0" xfId="0" applyFont="1" applyFill="1" applyBorder="1" applyAlignment="1" applyProtection="1">
      <alignment vertical="center"/>
    </xf>
    <xf numFmtId="0" fontId="65" fillId="2" borderId="13" xfId="0" applyFont="1" applyFill="1" applyBorder="1" applyAlignment="1" applyProtection="1">
      <alignment vertical="center"/>
    </xf>
    <xf numFmtId="0" fontId="17" fillId="0" borderId="1" xfId="0" applyFont="1" applyFill="1" applyBorder="1" applyAlignment="1" applyProtection="1">
      <alignment wrapText="1"/>
      <protection locked="0" hidden="1"/>
    </xf>
    <xf numFmtId="0" fontId="6" fillId="0" borderId="0" xfId="0" applyNumberFormat="1" applyFont="1"/>
    <xf numFmtId="0" fontId="7" fillId="0" borderId="4" xfId="1" applyFill="1" applyBorder="1" applyAlignment="1" applyProtection="1">
      <alignment wrapText="1"/>
      <protection hidden="1"/>
    </xf>
    <xf numFmtId="0" fontId="66" fillId="0" borderId="0" xfId="0" applyFont="1" applyFill="1" applyProtection="1"/>
    <xf numFmtId="0" fontId="66" fillId="2" borderId="0" xfId="0" applyFont="1" applyFill="1" applyAlignment="1" applyProtection="1"/>
    <xf numFmtId="0" fontId="66" fillId="2" borderId="0" xfId="0" applyFont="1" applyFill="1" applyProtection="1">
      <protection hidden="1"/>
    </xf>
    <xf numFmtId="49" fontId="16" fillId="2" borderId="17" xfId="0" applyNumberFormat="1" applyFont="1" applyFill="1" applyBorder="1" applyAlignment="1" applyProtection="1">
      <alignment horizontal="center" wrapText="1"/>
      <protection hidden="1"/>
    </xf>
    <xf numFmtId="49" fontId="17" fillId="2" borderId="1" xfId="0" applyNumberFormat="1" applyFont="1" applyFill="1" applyBorder="1" applyAlignment="1" applyProtection="1">
      <alignment wrapText="1"/>
      <protection locked="0"/>
    </xf>
    <xf numFmtId="49" fontId="17" fillId="2" borderId="1" xfId="0" applyNumberFormat="1" applyFont="1" applyFill="1" applyBorder="1" applyAlignment="1" applyProtection="1">
      <alignment vertical="center" wrapText="1"/>
      <protection locked="0"/>
    </xf>
    <xf numFmtId="49" fontId="0" fillId="2" borderId="0" xfId="0" applyNumberFormat="1" applyFill="1" applyProtection="1">
      <protection hidden="1"/>
    </xf>
    <xf numFmtId="166" fontId="0" fillId="0" borderId="0" xfId="0" applyNumberFormat="1"/>
    <xf numFmtId="0" fontId="0" fillId="0" borderId="0" xfId="0" applyAlignment="1">
      <alignment horizontal="right"/>
    </xf>
    <xf numFmtId="0" fontId="10" fillId="0" borderId="0" xfId="0" applyFont="1" applyAlignment="1">
      <alignment horizontal="right"/>
    </xf>
    <xf numFmtId="0" fontId="0" fillId="0" borderId="0" xfId="0" applyFill="1"/>
    <xf numFmtId="0" fontId="6" fillId="0" borderId="0" xfId="0" applyFont="1" applyAlignment="1">
      <alignment horizontal="left"/>
    </xf>
    <xf numFmtId="0" fontId="6" fillId="2" borderId="12" xfId="0" applyFont="1" applyFill="1" applyBorder="1" applyAlignment="1">
      <alignment vertical="top"/>
    </xf>
    <xf numFmtId="0" fontId="13" fillId="2" borderId="31" xfId="0" applyFont="1" applyFill="1" applyBorder="1" applyAlignment="1" applyProtection="1">
      <alignment vertical="center" wrapText="1"/>
      <protection hidden="1"/>
    </xf>
    <xf numFmtId="0" fontId="13" fillId="2" borderId="18" xfId="0" applyFont="1" applyFill="1" applyBorder="1" applyAlignment="1" applyProtection="1">
      <alignment vertical="center"/>
      <protection hidden="1"/>
    </xf>
    <xf numFmtId="0" fontId="13" fillId="2" borderId="19" xfId="0" applyFont="1" applyFill="1" applyBorder="1" applyAlignment="1" applyProtection="1">
      <alignment vertical="center"/>
      <protection hidden="1"/>
    </xf>
    <xf numFmtId="0" fontId="40" fillId="2" borderId="1" xfId="0" applyFont="1" applyFill="1" applyBorder="1" applyAlignment="1" applyProtection="1">
      <alignment horizontal="right" wrapText="1"/>
      <protection hidden="1"/>
    </xf>
    <xf numFmtId="0" fontId="40" fillId="2" borderId="1" xfId="0" applyFont="1" applyFill="1" applyBorder="1" applyAlignment="1" applyProtection="1">
      <alignment horizontal="center" vertical="center"/>
      <protection locked="0" hidden="1"/>
    </xf>
    <xf numFmtId="0" fontId="68" fillId="2" borderId="11" xfId="0" applyFont="1" applyFill="1" applyBorder="1" applyAlignment="1" applyProtection="1">
      <alignment vertical="center" wrapText="1"/>
      <protection hidden="1"/>
    </xf>
    <xf numFmtId="0" fontId="48" fillId="0" borderId="0" xfId="1" applyFont="1" applyFill="1" applyAlignment="1" applyProtection="1">
      <alignment horizontal="center" wrapText="1"/>
      <protection hidden="1"/>
    </xf>
    <xf numFmtId="49" fontId="0" fillId="0" borderId="4" xfId="0" applyNumberFormat="1" applyBorder="1" applyProtection="1">
      <protection hidden="1"/>
    </xf>
    <xf numFmtId="0" fontId="7" fillId="0" borderId="4" xfId="1" applyBorder="1" applyAlignment="1" applyProtection="1"/>
    <xf numFmtId="0" fontId="22" fillId="0" borderId="0" xfId="0" applyFont="1" applyFill="1" applyAlignment="1">
      <alignment horizontal="left" vertical="top"/>
    </xf>
    <xf numFmtId="0" fontId="34" fillId="3" borderId="0" xfId="0" applyFont="1" applyFill="1" applyAlignment="1" applyProtection="1">
      <protection hidden="1"/>
    </xf>
    <xf numFmtId="0" fontId="38" fillId="0" borderId="0" xfId="0" applyFont="1" applyFill="1" applyAlignment="1">
      <alignment horizontal="left" vertical="top"/>
    </xf>
    <xf numFmtId="0" fontId="0" fillId="0" borderId="0" xfId="0" applyFill="1" applyAlignment="1"/>
    <xf numFmtId="0" fontId="29" fillId="0" borderId="0" xfId="0" applyFont="1" applyFill="1" applyAlignment="1">
      <alignment horizontal="left" vertical="top"/>
    </xf>
    <xf numFmtId="0" fontId="3" fillId="0" borderId="1" xfId="0" applyFont="1" applyFill="1" applyBorder="1" applyAlignment="1">
      <alignment vertical="top"/>
    </xf>
    <xf numFmtId="0" fontId="17" fillId="2" borderId="1" xfId="0" applyFont="1" applyFill="1" applyBorder="1" applyAlignment="1" applyProtection="1">
      <protection locked="0" hidden="1"/>
    </xf>
    <xf numFmtId="0" fontId="17" fillId="0" borderId="1" xfId="0" applyFont="1" applyFill="1" applyBorder="1" applyAlignment="1" applyProtection="1">
      <protection locked="0" hidden="1"/>
    </xf>
    <xf numFmtId="0" fontId="17" fillId="0" borderId="1" xfId="0" applyFont="1" applyFill="1" applyBorder="1" applyAlignment="1" applyProtection="1">
      <alignment wrapText="1"/>
      <protection locked="0" hidden="1"/>
    </xf>
    <xf numFmtId="0" fontId="12" fillId="0" borderId="0" xfId="0" applyFont="1" applyProtection="1">
      <protection locked="0"/>
    </xf>
    <xf numFmtId="0" fontId="17" fillId="2" borderId="1" xfId="0" applyFont="1" applyFill="1" applyBorder="1" applyAlignment="1" applyProtection="1">
      <alignment wrapText="1"/>
      <protection locked="0"/>
    </xf>
    <xf numFmtId="0" fontId="70" fillId="2" borderId="1" xfId="0" applyFont="1" applyFill="1" applyBorder="1" applyAlignment="1" applyProtection="1">
      <alignment horizontal="left" wrapText="1"/>
      <protection locked="0"/>
    </xf>
    <xf numFmtId="0" fontId="71" fillId="0" borderId="0" xfId="0" applyFont="1" applyAlignment="1" applyProtection="1">
      <alignment vertical="center"/>
      <protection locked="0"/>
    </xf>
    <xf numFmtId="0" fontId="17" fillId="2" borderId="1" xfId="0" applyFont="1" applyFill="1" applyBorder="1" applyAlignment="1" applyProtection="1">
      <alignment wrapText="1"/>
      <protection locked="0" hidden="1"/>
    </xf>
    <xf numFmtId="0" fontId="72" fillId="2" borderId="1" xfId="0" applyFont="1" applyFill="1" applyBorder="1" applyAlignment="1" applyProtection="1">
      <alignment wrapText="1"/>
      <protection locked="0" hidden="1"/>
    </xf>
    <xf numFmtId="0" fontId="17" fillId="2" borderId="1" xfId="0" applyFont="1" applyFill="1" applyBorder="1" applyAlignment="1" applyProtection="1">
      <alignment horizontal="left" wrapText="1"/>
      <protection locked="0"/>
    </xf>
    <xf numFmtId="0" fontId="7" fillId="2" borderId="1" xfId="1" applyFill="1" applyBorder="1" applyAlignment="1" applyProtection="1">
      <alignment wrapText="1"/>
      <protection locked="0"/>
    </xf>
    <xf numFmtId="0" fontId="0" fillId="2" borderId="18" xfId="0" applyFont="1" applyFill="1" applyBorder="1" applyAlignment="1">
      <alignment horizontal="center"/>
    </xf>
    <xf numFmtId="0" fontId="0" fillId="2" borderId="19" xfId="0" applyFont="1" applyFill="1" applyBorder="1" applyAlignment="1">
      <alignment horizontal="center"/>
    </xf>
    <xf numFmtId="0" fontId="14" fillId="2" borderId="11" xfId="0" applyFont="1" applyFill="1" applyBorder="1" applyAlignment="1">
      <alignment horizontal="center" vertical="center" wrapText="1"/>
    </xf>
    <xf numFmtId="0" fontId="14" fillId="2" borderId="31" xfId="0" applyFont="1" applyFill="1" applyBorder="1" applyAlignment="1">
      <alignment horizontal="center" vertical="center" wrapText="1"/>
    </xf>
    <xf numFmtId="0" fontId="4" fillId="2" borderId="34" xfId="0" applyFont="1" applyFill="1" applyBorder="1" applyAlignment="1">
      <alignment horizontal="center"/>
    </xf>
    <xf numFmtId="0" fontId="13" fillId="2" borderId="0" xfId="0" applyFont="1" applyFill="1" applyBorder="1" applyAlignment="1">
      <alignment vertical="center"/>
    </xf>
    <xf numFmtId="0" fontId="0" fillId="2" borderId="0" xfId="0" applyFont="1" applyFill="1" applyBorder="1" applyAlignment="1"/>
    <xf numFmtId="0" fontId="30" fillId="2" borderId="35" xfId="5" applyFont="1" applyFill="1" applyBorder="1" applyAlignment="1">
      <alignment horizontal="center" vertical="top"/>
    </xf>
    <xf numFmtId="0" fontId="21" fillId="2" borderId="36" xfId="5" applyFont="1" applyFill="1" applyBorder="1" applyAlignment="1">
      <alignment horizontal="center" vertical="top"/>
    </xf>
    <xf numFmtId="0" fontId="21" fillId="2" borderId="37" xfId="5" applyFont="1" applyFill="1" applyBorder="1" applyAlignment="1">
      <alignment horizontal="center" vertical="top"/>
    </xf>
    <xf numFmtId="0" fontId="23" fillId="2" borderId="32" xfId="5" applyFont="1" applyFill="1" applyBorder="1" applyAlignment="1">
      <alignment horizontal="center" vertical="center" wrapText="1"/>
    </xf>
    <xf numFmtId="0" fontId="24" fillId="2" borderId="32" xfId="5" applyFont="1" applyFill="1" applyBorder="1" applyAlignment="1">
      <alignment horizontal="center" vertical="center" wrapText="1"/>
    </xf>
    <xf numFmtId="0" fontId="43" fillId="2" borderId="33" xfId="0" applyFont="1" applyFill="1" applyBorder="1" applyAlignment="1" applyProtection="1">
      <alignment horizontal="center" vertical="center"/>
      <protection locked="0" hidden="1"/>
    </xf>
    <xf numFmtId="0" fontId="43" fillId="2" borderId="15" xfId="0" applyFont="1" applyFill="1" applyBorder="1" applyAlignment="1" applyProtection="1">
      <alignment horizontal="center" vertical="center"/>
      <protection locked="0" hidden="1"/>
    </xf>
    <xf numFmtId="0" fontId="43" fillId="2" borderId="38" xfId="0" applyFont="1" applyFill="1" applyBorder="1" applyAlignment="1" applyProtection="1">
      <alignment horizontal="center" vertical="center"/>
      <protection locked="0" hidden="1"/>
    </xf>
    <xf numFmtId="0" fontId="6" fillId="2" borderId="33" xfId="0" applyFont="1" applyFill="1" applyBorder="1" applyAlignment="1">
      <alignment horizontal="center" vertical="center"/>
    </xf>
    <xf numFmtId="0" fontId="0" fillId="2" borderId="15" xfId="0" applyFill="1" applyBorder="1" applyAlignment="1">
      <alignment horizontal="center" vertical="center"/>
    </xf>
    <xf numFmtId="0" fontId="0" fillId="2" borderId="38" xfId="0" applyFill="1" applyBorder="1" applyAlignment="1">
      <alignment horizontal="center" vertical="center"/>
    </xf>
    <xf numFmtId="0" fontId="2" fillId="0" borderId="14" xfId="0" applyFont="1" applyBorder="1" applyAlignment="1">
      <alignment horizontal="center" vertical="center" wrapText="1"/>
    </xf>
    <xf numFmtId="0" fontId="2" fillId="0" borderId="0" xfId="0" applyFont="1" applyBorder="1" applyAlignment="1">
      <alignment horizontal="center" vertical="center" wrapText="1"/>
    </xf>
    <xf numFmtId="0" fontId="0" fillId="2" borderId="18" xfId="0" applyFill="1" applyBorder="1" applyAlignment="1">
      <alignment horizontal="center"/>
    </xf>
    <xf numFmtId="0" fontId="0" fillId="2" borderId="19" xfId="0" applyFill="1" applyBorder="1" applyAlignment="1">
      <alignment horizontal="center"/>
    </xf>
    <xf numFmtId="0" fontId="0" fillId="2" borderId="11" xfId="0" applyFill="1" applyBorder="1" applyAlignment="1">
      <alignment horizontal="center"/>
    </xf>
    <xf numFmtId="0" fontId="0" fillId="2" borderId="31" xfId="0" applyFill="1" applyBorder="1" applyAlignment="1">
      <alignment horizontal="center"/>
    </xf>
    <xf numFmtId="0" fontId="2" fillId="2" borderId="14"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19" fillId="2" borderId="31" xfId="0" applyFont="1" applyFill="1" applyBorder="1" applyAlignment="1" applyProtection="1">
      <alignment horizontal="center" vertical="center"/>
    </xf>
    <xf numFmtId="0" fontId="19" fillId="2" borderId="34" xfId="0" applyFont="1" applyFill="1" applyBorder="1" applyAlignment="1" applyProtection="1">
      <alignment horizontal="center" vertical="center"/>
    </xf>
    <xf numFmtId="0" fontId="69" fillId="2" borderId="0" xfId="1" applyFont="1" applyFill="1" applyBorder="1" applyAlignment="1" applyProtection="1">
      <alignment horizontal="center" vertical="center" wrapText="1"/>
      <protection hidden="1"/>
    </xf>
    <xf numFmtId="0" fontId="17" fillId="2" borderId="33" xfId="0" applyFont="1" applyFill="1" applyBorder="1" applyAlignment="1" applyProtection="1">
      <alignment horizontal="left" vertical="center"/>
      <protection locked="0"/>
    </xf>
    <xf numFmtId="0" fontId="17" fillId="2" borderId="15" xfId="0" applyFont="1" applyFill="1" applyBorder="1" applyAlignment="1" applyProtection="1">
      <alignment horizontal="left" vertical="center"/>
      <protection locked="0"/>
    </xf>
    <xf numFmtId="0" fontId="17" fillId="2" borderId="38" xfId="0" applyFont="1" applyFill="1" applyBorder="1" applyAlignment="1" applyProtection="1">
      <alignment horizontal="left" vertical="center"/>
      <protection locked="0"/>
    </xf>
    <xf numFmtId="0" fontId="6" fillId="2" borderId="0" xfId="0" applyFont="1" applyFill="1" applyAlignment="1" applyProtection="1">
      <alignment horizontal="center"/>
    </xf>
    <xf numFmtId="0" fontId="0" fillId="2" borderId="0" xfId="0" applyFill="1" applyAlignment="1" applyProtection="1">
      <alignment horizontal="center"/>
    </xf>
    <xf numFmtId="0" fontId="16" fillId="2" borderId="15" xfId="0" applyFont="1" applyFill="1" applyBorder="1" applyAlignment="1" applyProtection="1">
      <alignment horizontal="left" wrapText="1"/>
      <protection hidden="1"/>
    </xf>
    <xf numFmtId="0" fontId="17" fillId="2" borderId="15" xfId="0" applyFont="1" applyFill="1" applyBorder="1" applyAlignment="1" applyProtection="1">
      <alignment horizontal="center" vertical="center"/>
    </xf>
    <xf numFmtId="0" fontId="61" fillId="2" borderId="13" xfId="1" applyFont="1" applyFill="1" applyBorder="1" applyAlignment="1" applyProtection="1">
      <alignment horizontal="center"/>
      <protection hidden="1"/>
    </xf>
    <xf numFmtId="0" fontId="61" fillId="0" borderId="33" xfId="1" applyFont="1" applyBorder="1" applyAlignment="1" applyProtection="1">
      <protection locked="0"/>
    </xf>
    <xf numFmtId="0" fontId="63" fillId="0" borderId="15" xfId="1" applyFont="1" applyBorder="1" applyAlignment="1" applyProtection="1">
      <protection locked="0"/>
    </xf>
    <xf numFmtId="0" fontId="63" fillId="0" borderId="38" xfId="1" applyFont="1" applyBorder="1" applyAlignment="1" applyProtection="1">
      <protection locked="0"/>
    </xf>
    <xf numFmtId="0" fontId="16" fillId="2" borderId="0" xfId="0" applyFont="1" applyFill="1" applyBorder="1" applyAlignment="1" applyProtection="1">
      <alignment horizontal="center" vertical="center" wrapText="1"/>
      <protection hidden="1"/>
    </xf>
    <xf numFmtId="0" fontId="16" fillId="2" borderId="13" xfId="0" applyFont="1" applyFill="1" applyBorder="1" applyAlignment="1" applyProtection="1">
      <alignment horizontal="center" wrapText="1"/>
    </xf>
    <xf numFmtId="0" fontId="51" fillId="0" borderId="14" xfId="1" applyFont="1" applyFill="1" applyBorder="1" applyAlignment="1" applyProtection="1">
      <alignment horizontal="center" vertical="center"/>
    </xf>
    <xf numFmtId="0" fontId="16" fillId="2" borderId="40" xfId="0" applyFont="1" applyFill="1" applyBorder="1" applyAlignment="1" applyProtection="1">
      <alignment horizontal="right" vertical="center"/>
      <protection hidden="1"/>
    </xf>
    <xf numFmtId="0" fontId="16" fillId="2" borderId="20" xfId="0" applyFont="1" applyFill="1" applyBorder="1" applyAlignment="1" applyProtection="1">
      <alignment horizontal="right" vertical="center"/>
      <protection hidden="1"/>
    </xf>
    <xf numFmtId="0" fontId="16" fillId="2" borderId="0" xfId="0" applyFont="1" applyFill="1" applyBorder="1" applyAlignment="1" applyProtection="1">
      <alignment horizontal="right" vertical="center" wrapText="1"/>
      <protection hidden="1"/>
    </xf>
    <xf numFmtId="0" fontId="51" fillId="2" borderId="0" xfId="1" applyFont="1" applyFill="1" applyBorder="1" applyAlignment="1" applyProtection="1">
      <alignment horizontal="center" vertical="center" wrapText="1"/>
      <protection hidden="1"/>
    </xf>
    <xf numFmtId="165" fontId="16" fillId="2" borderId="33" xfId="0" applyNumberFormat="1" applyFont="1" applyFill="1" applyBorder="1" applyAlignment="1" applyProtection="1">
      <alignment horizontal="center" wrapText="1"/>
      <protection locked="0"/>
    </xf>
    <xf numFmtId="165" fontId="16" fillId="2" borderId="38" xfId="0" applyNumberFormat="1" applyFont="1" applyFill="1" applyBorder="1" applyAlignment="1" applyProtection="1">
      <alignment horizontal="center" wrapText="1"/>
      <protection locked="0"/>
    </xf>
    <xf numFmtId="0" fontId="19" fillId="2" borderId="0" xfId="0" applyFont="1" applyFill="1" applyBorder="1" applyAlignment="1" applyProtection="1">
      <alignment horizontal="center" wrapText="1"/>
    </xf>
    <xf numFmtId="0" fontId="0" fillId="2" borderId="8" xfId="0" applyFill="1" applyBorder="1" applyAlignment="1" applyProtection="1">
      <alignment horizontal="center" vertical="top" wrapText="1"/>
    </xf>
    <xf numFmtId="0" fontId="0" fillId="2" borderId="9" xfId="0" applyFill="1" applyBorder="1" applyAlignment="1" applyProtection="1">
      <alignment horizontal="center" vertical="top" wrapText="1"/>
    </xf>
    <xf numFmtId="0" fontId="0" fillId="2" borderId="10" xfId="0" applyFill="1" applyBorder="1" applyAlignment="1" applyProtection="1">
      <alignment horizontal="center" vertical="top" wrapText="1"/>
    </xf>
    <xf numFmtId="0" fontId="15" fillId="2" borderId="1" xfId="0" applyFont="1" applyFill="1" applyBorder="1" applyAlignment="1" applyProtection="1">
      <alignment horizontal="center" vertical="center"/>
    </xf>
    <xf numFmtId="0" fontId="17" fillId="2" borderId="23" xfId="0" applyFont="1" applyFill="1" applyBorder="1" applyAlignment="1" applyProtection="1">
      <alignment horizontal="left" vertical="center"/>
      <protection locked="0"/>
    </xf>
    <xf numFmtId="0" fontId="17" fillId="2" borderId="13" xfId="0" applyFont="1" applyFill="1" applyBorder="1" applyAlignment="1" applyProtection="1">
      <alignment horizontal="left" vertical="center"/>
      <protection locked="0"/>
    </xf>
    <xf numFmtId="0" fontId="17" fillId="2" borderId="41" xfId="0" applyFont="1" applyFill="1" applyBorder="1" applyAlignment="1" applyProtection="1">
      <alignment horizontal="left" vertical="center"/>
      <protection locked="0"/>
    </xf>
    <xf numFmtId="0" fontId="61" fillId="2" borderId="23" xfId="1" applyFont="1" applyFill="1" applyBorder="1" applyAlignment="1" applyProtection="1">
      <alignment horizontal="center" vertical="center"/>
      <protection hidden="1"/>
    </xf>
    <xf numFmtId="0" fontId="61" fillId="2" borderId="13" xfId="1" applyFont="1" applyFill="1" applyBorder="1" applyAlignment="1" applyProtection="1">
      <alignment horizontal="center" vertical="center"/>
      <protection hidden="1"/>
    </xf>
    <xf numFmtId="0" fontId="61" fillId="2" borderId="41" xfId="1" applyFont="1" applyFill="1" applyBorder="1" applyAlignment="1" applyProtection="1">
      <alignment horizontal="center" vertical="center"/>
      <protection hidden="1"/>
    </xf>
    <xf numFmtId="0" fontId="51" fillId="2" borderId="14" xfId="1" applyFont="1" applyFill="1" applyBorder="1" applyAlignment="1" applyProtection="1">
      <alignment horizontal="center" vertical="center" wrapText="1"/>
      <protection hidden="1"/>
    </xf>
    <xf numFmtId="0" fontId="16" fillId="2" borderId="13" xfId="0" applyFont="1" applyFill="1" applyBorder="1" applyAlignment="1" applyProtection="1">
      <alignment horizontal="center" vertical="top" wrapText="1"/>
      <protection hidden="1"/>
    </xf>
    <xf numFmtId="0" fontId="17" fillId="2" borderId="28" xfId="0" applyFont="1" applyFill="1" applyBorder="1" applyAlignment="1" applyProtection="1">
      <alignment horizontal="left" vertical="center"/>
      <protection locked="0"/>
    </xf>
    <xf numFmtId="0" fontId="17" fillId="2" borderId="14" xfId="0" applyFont="1" applyFill="1" applyBorder="1" applyAlignment="1" applyProtection="1">
      <alignment horizontal="left" vertical="center"/>
      <protection locked="0"/>
    </xf>
    <xf numFmtId="0" fontId="17" fillId="2" borderId="39" xfId="0" applyFont="1" applyFill="1" applyBorder="1" applyAlignment="1" applyProtection="1">
      <alignment horizontal="left" vertical="center"/>
      <protection locked="0"/>
    </xf>
    <xf numFmtId="0" fontId="17" fillId="2" borderId="33" xfId="0" applyFont="1" applyFill="1" applyBorder="1" applyAlignment="1" applyProtection="1">
      <alignment horizontal="center" vertical="center"/>
      <protection locked="0"/>
    </xf>
    <xf numFmtId="0" fontId="17" fillId="2" borderId="15" xfId="0" applyFont="1" applyFill="1" applyBorder="1" applyAlignment="1" applyProtection="1">
      <alignment horizontal="center" vertical="center"/>
      <protection locked="0"/>
    </xf>
    <xf numFmtId="0" fontId="17" fillId="2" borderId="38" xfId="0" applyFont="1" applyFill="1" applyBorder="1" applyAlignment="1" applyProtection="1">
      <alignment horizontal="center" vertical="center"/>
      <protection locked="0"/>
    </xf>
    <xf numFmtId="0" fontId="51" fillId="2" borderId="13" xfId="1" applyFont="1" applyFill="1" applyBorder="1" applyAlignment="1" applyProtection="1">
      <alignment horizontal="center" vertical="center" wrapText="1"/>
      <protection hidden="1"/>
    </xf>
    <xf numFmtId="0" fontId="10" fillId="2" borderId="13" xfId="0" applyFont="1" applyFill="1" applyBorder="1" applyAlignment="1" applyProtection="1">
      <alignment horizontal="center" wrapText="1"/>
      <protection hidden="1"/>
    </xf>
    <xf numFmtId="0" fontId="51" fillId="2" borderId="13" xfId="1" applyFont="1" applyFill="1" applyBorder="1" applyAlignment="1" applyProtection="1">
      <alignment horizontal="center"/>
      <protection hidden="1"/>
    </xf>
    <xf numFmtId="0" fontId="13" fillId="2" borderId="8" xfId="0" applyFont="1" applyFill="1" applyBorder="1" applyAlignment="1" applyProtection="1">
      <alignment horizontal="center" vertical="center" wrapText="1"/>
    </xf>
    <xf numFmtId="0" fontId="13" fillId="2" borderId="9"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4" fillId="2" borderId="34" xfId="0" applyFont="1" applyFill="1" applyBorder="1" applyAlignment="1" applyProtection="1">
      <alignment horizontal="center" wrapText="1"/>
    </xf>
    <xf numFmtId="0" fontId="42" fillId="2" borderId="33" xfId="0" applyFont="1" applyFill="1" applyBorder="1" applyAlignment="1" applyProtection="1">
      <alignment horizontal="center" vertical="center" wrapText="1"/>
    </xf>
    <xf numFmtId="0" fontId="42" fillId="2" borderId="38" xfId="0" applyFont="1" applyFill="1" applyBorder="1" applyAlignment="1" applyProtection="1">
      <alignment horizontal="center" vertical="center" wrapText="1"/>
    </xf>
    <xf numFmtId="0" fontId="20" fillId="2" borderId="42" xfId="1" applyFont="1" applyFill="1" applyBorder="1" applyAlignment="1" applyProtection="1">
      <alignment horizontal="center" vertical="center"/>
      <protection locked="0" hidden="1"/>
    </xf>
    <xf numFmtId="0" fontId="0" fillId="0" borderId="0" xfId="0" applyAlignment="1">
      <alignment horizontal="center" vertical="center"/>
    </xf>
    <xf numFmtId="0" fontId="13" fillId="2" borderId="11" xfId="0" applyFont="1" applyFill="1" applyBorder="1" applyAlignment="1" applyProtection="1">
      <alignment horizontal="center" vertical="center" wrapText="1"/>
    </xf>
    <xf numFmtId="0" fontId="13" fillId="2" borderId="14" xfId="0" applyFont="1" applyFill="1" applyBorder="1" applyAlignment="1" applyProtection="1">
      <alignment horizontal="center" vertical="center" wrapText="1"/>
    </xf>
    <xf numFmtId="0" fontId="13" fillId="2" borderId="39" xfId="0" applyFont="1" applyFill="1" applyBorder="1" applyAlignment="1" applyProtection="1">
      <alignment horizontal="center" vertical="center" wrapText="1"/>
    </xf>
    <xf numFmtId="0" fontId="13" fillId="2" borderId="13" xfId="0" applyFont="1" applyFill="1" applyBorder="1" applyAlignment="1" applyProtection="1">
      <alignment horizontal="center" vertical="center" wrapText="1"/>
    </xf>
    <xf numFmtId="0" fontId="13" fillId="2" borderId="41" xfId="0" applyFont="1" applyFill="1" applyBorder="1" applyAlignment="1" applyProtection="1">
      <alignment horizontal="center" vertical="center" wrapText="1"/>
    </xf>
    <xf numFmtId="0" fontId="16" fillId="2" borderId="28" xfId="0" applyFont="1" applyFill="1" applyBorder="1" applyAlignment="1" applyProtection="1">
      <alignment horizontal="left" vertical="center" wrapText="1"/>
    </xf>
    <xf numFmtId="0" fontId="16" fillId="2" borderId="14" xfId="0" applyFont="1" applyFill="1" applyBorder="1" applyAlignment="1" applyProtection="1">
      <alignment horizontal="left" vertical="center" wrapText="1"/>
    </xf>
    <xf numFmtId="0" fontId="16" fillId="2" borderId="23" xfId="0" applyFont="1" applyFill="1" applyBorder="1" applyAlignment="1" applyProtection="1">
      <alignment horizontal="left" vertical="center" wrapText="1"/>
    </xf>
    <xf numFmtId="0" fontId="16" fillId="2" borderId="13" xfId="0" applyFont="1" applyFill="1" applyBorder="1" applyAlignment="1" applyProtection="1">
      <alignment horizontal="left" vertical="center" wrapText="1"/>
    </xf>
    <xf numFmtId="0" fontId="54" fillId="0" borderId="0" xfId="0" applyFont="1" applyAlignment="1" applyProtection="1">
      <alignment horizontal="center" wrapText="1"/>
      <protection hidden="1"/>
    </xf>
    <xf numFmtId="0" fontId="62" fillId="0" borderId="0" xfId="0" applyFont="1" applyAlignment="1" applyProtection="1">
      <alignment horizontal="center" vertical="center" textRotation="90" wrapText="1"/>
      <protection hidden="1"/>
    </xf>
    <xf numFmtId="0" fontId="6" fillId="0" borderId="0" xfId="0" applyFont="1" applyAlignment="1" applyProtection="1">
      <alignment horizontal="center" wrapText="1"/>
      <protection hidden="1"/>
    </xf>
    <xf numFmtId="0" fontId="10" fillId="0" borderId="0" xfId="0" applyFont="1" applyAlignment="1" applyProtection="1">
      <alignment horizontal="center"/>
      <protection hidden="1"/>
    </xf>
    <xf numFmtId="0" fontId="62" fillId="0" borderId="0" xfId="0" applyFont="1" applyAlignment="1" applyProtection="1">
      <alignment horizontal="center" vertical="center" textRotation="90"/>
      <protection hidden="1"/>
    </xf>
    <xf numFmtId="0" fontId="17" fillId="2" borderId="33" xfId="0" applyFont="1" applyFill="1" applyBorder="1" applyAlignment="1" applyProtection="1">
      <alignment horizontal="center" wrapText="1"/>
      <protection locked="0"/>
    </xf>
    <xf numFmtId="0" fontId="17" fillId="2" borderId="15" xfId="0" applyFont="1" applyFill="1" applyBorder="1" applyAlignment="1" applyProtection="1">
      <alignment horizontal="center" wrapText="1"/>
      <protection locked="0"/>
    </xf>
    <xf numFmtId="0" fontId="17" fillId="2" borderId="38" xfId="0" applyFont="1" applyFill="1" applyBorder="1" applyAlignment="1" applyProtection="1">
      <alignment horizontal="center" wrapText="1"/>
      <protection locked="0"/>
    </xf>
    <xf numFmtId="0" fontId="49" fillId="2" borderId="8" xfId="0" applyFont="1" applyFill="1" applyBorder="1" applyAlignment="1" applyProtection="1">
      <alignment horizontal="center" vertical="center" wrapText="1"/>
      <protection hidden="1"/>
    </xf>
    <xf numFmtId="0" fontId="49" fillId="2" borderId="9" xfId="0" applyFont="1" applyFill="1" applyBorder="1" applyAlignment="1" applyProtection="1">
      <alignment horizontal="center" vertical="center" wrapText="1"/>
      <protection hidden="1"/>
    </xf>
    <xf numFmtId="0" fontId="49" fillId="2" borderId="10" xfId="0" applyFont="1" applyFill="1" applyBorder="1" applyAlignment="1" applyProtection="1">
      <alignment horizontal="center" vertical="center" wrapText="1"/>
      <protection hidden="1"/>
    </xf>
    <xf numFmtId="0" fontId="13" fillId="2" borderId="11" xfId="0" applyFont="1" applyFill="1" applyBorder="1" applyAlignment="1" applyProtection="1">
      <alignment horizontal="center" vertical="center" wrapText="1"/>
      <protection hidden="1"/>
    </xf>
    <xf numFmtId="0" fontId="13" fillId="2" borderId="31" xfId="0" applyFont="1" applyFill="1" applyBorder="1" applyAlignment="1" applyProtection="1">
      <alignment horizontal="center" vertical="center" wrapText="1"/>
      <protection hidden="1"/>
    </xf>
    <xf numFmtId="0" fontId="13" fillId="2" borderId="43" xfId="0" applyFont="1" applyFill="1" applyBorder="1" applyAlignment="1" applyProtection="1">
      <alignment horizontal="center" vertical="center" wrapText="1"/>
      <protection hidden="1"/>
    </xf>
    <xf numFmtId="0" fontId="13" fillId="2" borderId="30" xfId="0" applyFont="1" applyFill="1" applyBorder="1" applyAlignment="1" applyProtection="1">
      <alignment horizontal="center" vertical="center" wrapText="1"/>
      <protection hidden="1"/>
    </xf>
    <xf numFmtId="0" fontId="13" fillId="2" borderId="44" xfId="0" applyFont="1" applyFill="1" applyBorder="1" applyAlignment="1" applyProtection="1">
      <alignment horizontal="center" vertical="center" wrapText="1"/>
      <protection hidden="1"/>
    </xf>
    <xf numFmtId="0" fontId="13" fillId="2" borderId="45" xfId="0" applyFont="1" applyFill="1" applyBorder="1" applyAlignment="1" applyProtection="1">
      <alignment horizontal="center" vertical="center" wrapText="1"/>
      <protection hidden="1"/>
    </xf>
    <xf numFmtId="0" fontId="13" fillId="2" borderId="46" xfId="0" applyFont="1" applyFill="1" applyBorder="1" applyAlignment="1" applyProtection="1">
      <alignment horizontal="center" vertical="center" wrapText="1"/>
      <protection hidden="1"/>
    </xf>
    <xf numFmtId="0" fontId="13" fillId="2" borderId="7" xfId="0" applyFont="1" applyFill="1" applyBorder="1" applyAlignment="1" applyProtection="1">
      <alignment horizontal="center" vertical="center" wrapText="1"/>
      <protection hidden="1"/>
    </xf>
    <xf numFmtId="0" fontId="13" fillId="2" borderId="18" xfId="0" applyFont="1" applyFill="1" applyBorder="1" applyAlignment="1" applyProtection="1">
      <alignment horizontal="center" vertical="center" wrapText="1"/>
      <protection hidden="1"/>
    </xf>
    <xf numFmtId="0" fontId="13" fillId="2" borderId="19" xfId="0" applyFont="1" applyFill="1" applyBorder="1" applyAlignment="1" applyProtection="1">
      <alignment horizontal="center" vertical="center" wrapText="1"/>
      <protection hidden="1"/>
    </xf>
    <xf numFmtId="0" fontId="16" fillId="2" borderId="13" xfId="0" applyFont="1" applyFill="1" applyBorder="1" applyAlignment="1" applyProtection="1">
      <alignment horizontal="center" wrapText="1"/>
      <protection hidden="1"/>
    </xf>
    <xf numFmtId="0" fontId="4" fillId="2" borderId="34" xfId="0" applyFont="1" applyFill="1" applyBorder="1" applyAlignment="1" applyProtection="1">
      <alignment horizontal="center" wrapText="1"/>
      <protection hidden="1"/>
    </xf>
  </cellXfs>
  <cellStyles count="6">
    <cellStyle name="Hyperlink" xfId="1" builtinId="8"/>
    <cellStyle name="Normal" xfId="0" builtinId="0"/>
    <cellStyle name="Normal 2" xfId="2"/>
    <cellStyle name="Normal 4" xfId="3"/>
    <cellStyle name="Normal 5" xfId="4"/>
    <cellStyle name="Normal_Sheet1" xfId="5"/>
  </cellStyles>
  <dxfs count="305">
    <dxf>
      <font>
        <color theme="0"/>
      </font>
      <fill>
        <patternFill>
          <bgColor theme="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1"/>
      </font>
      <fill>
        <patternFill>
          <bgColor rgb="FFFF0000"/>
        </patternFill>
      </fill>
    </dxf>
    <dxf>
      <fill>
        <patternFill>
          <bgColor rgb="FF92D050"/>
        </patternFill>
      </fill>
    </dxf>
    <dxf>
      <font>
        <color theme="0"/>
      </font>
    </dxf>
    <dxf>
      <fill>
        <patternFill>
          <bgColor rgb="FFFF000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patternType="solid">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ont>
        <color theme="0"/>
      </font>
    </dxf>
    <dxf>
      <fill>
        <patternFill>
          <bgColor rgb="FFFF0000"/>
        </patternFill>
      </fill>
    </dxf>
    <dxf>
      <fill>
        <patternFill>
          <bgColor rgb="FF92D050"/>
        </patternFill>
      </fill>
    </dxf>
    <dxf>
      <font>
        <color theme="0"/>
      </font>
      <fill>
        <patternFill>
          <bgColor theme="0"/>
        </patternFill>
      </fill>
    </dxf>
    <dxf>
      <fill>
        <patternFill>
          <bgColor rgb="FFFF000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indexed="13"/>
        </patternFill>
      </fill>
    </dxf>
    <dxf>
      <fill>
        <patternFill>
          <bgColor indexed="9"/>
        </patternFill>
      </fill>
    </dxf>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rgb="FFFFFF00"/>
        </patternFill>
      </fill>
    </dxf>
    <dxf>
      <font>
        <color auto="1"/>
      </font>
      <fill>
        <patternFill>
          <bgColor theme="0"/>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ont>
        <color rgb="FFFF0000"/>
      </font>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133350</xdr:colOff>
      <xdr:row>1</xdr:row>
      <xdr:rowOff>28575</xdr:rowOff>
    </xdr:from>
    <xdr:to>
      <xdr:col>7</xdr:col>
      <xdr:colOff>142875</xdr:colOff>
      <xdr:row>7</xdr:row>
      <xdr:rowOff>76200</xdr:rowOff>
    </xdr:to>
    <xdr:grpSp>
      <xdr:nvGrpSpPr>
        <xdr:cNvPr id="6145" name="Group 4"/>
        <xdr:cNvGrpSpPr>
          <a:grpSpLocks/>
        </xdr:cNvGrpSpPr>
      </xdr:nvGrpSpPr>
      <xdr:grpSpPr bwMode="auto">
        <a:xfrm>
          <a:off x="257175" y="200025"/>
          <a:ext cx="7210425" cy="1057275"/>
          <a:chOff x="225898" y="369094"/>
          <a:chExt cx="6065365" cy="1054777"/>
        </a:xfrm>
      </xdr:grpSpPr>
      <xdr:pic>
        <xdr:nvPicPr>
          <xdr:cNvPr id="6146"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6147"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95250</xdr:colOff>
      <xdr:row>1</xdr:row>
      <xdr:rowOff>152400</xdr:rowOff>
    </xdr:from>
    <xdr:to>
      <xdr:col>1</xdr:col>
      <xdr:colOff>6162675</xdr:colOff>
      <xdr:row>1</xdr:row>
      <xdr:rowOff>1209675</xdr:rowOff>
    </xdr:to>
    <xdr:grpSp>
      <xdr:nvGrpSpPr>
        <xdr:cNvPr id="1239" name="Group 4"/>
        <xdr:cNvGrpSpPr>
          <a:grpSpLocks/>
        </xdr:cNvGrpSpPr>
      </xdr:nvGrpSpPr>
      <xdr:grpSpPr bwMode="auto">
        <a:xfrm>
          <a:off x="222250" y="321733"/>
          <a:ext cx="6067425" cy="1057275"/>
          <a:chOff x="225898" y="369094"/>
          <a:chExt cx="6065365" cy="1054777"/>
        </a:xfrm>
      </xdr:grpSpPr>
      <xdr:pic>
        <xdr:nvPicPr>
          <xdr:cNvPr id="124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124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180975</xdr:colOff>
      <xdr:row>1</xdr:row>
      <xdr:rowOff>238125</xdr:rowOff>
    </xdr:from>
    <xdr:to>
      <xdr:col>7</xdr:col>
      <xdr:colOff>1790700</xdr:colOff>
      <xdr:row>2</xdr:row>
      <xdr:rowOff>1104900</xdr:rowOff>
    </xdr:to>
    <xdr:grpSp>
      <xdr:nvGrpSpPr>
        <xdr:cNvPr id="2059" name="Group 4"/>
        <xdr:cNvGrpSpPr>
          <a:grpSpLocks/>
        </xdr:cNvGrpSpPr>
      </xdr:nvGrpSpPr>
      <xdr:grpSpPr bwMode="auto">
        <a:xfrm>
          <a:off x="4803775" y="415925"/>
          <a:ext cx="10499725" cy="1628775"/>
          <a:chOff x="225898" y="369094"/>
          <a:chExt cx="6065365" cy="1054777"/>
        </a:xfrm>
      </xdr:grpSpPr>
      <xdr:pic>
        <xdr:nvPicPr>
          <xdr:cNvPr id="206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206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1</xdr:row>
      <xdr:rowOff>28575</xdr:rowOff>
    </xdr:from>
    <xdr:to>
      <xdr:col>3</xdr:col>
      <xdr:colOff>2809875</xdr:colOff>
      <xdr:row>2</xdr:row>
      <xdr:rowOff>666750</xdr:rowOff>
    </xdr:to>
    <xdr:grpSp>
      <xdr:nvGrpSpPr>
        <xdr:cNvPr id="7169" name="Group 1"/>
        <xdr:cNvGrpSpPr>
          <a:grpSpLocks/>
        </xdr:cNvGrpSpPr>
      </xdr:nvGrpSpPr>
      <xdr:grpSpPr bwMode="auto">
        <a:xfrm>
          <a:off x="161925" y="466725"/>
          <a:ext cx="8848725" cy="981075"/>
          <a:chOff x="225898" y="369094"/>
          <a:chExt cx="6065365" cy="1054777"/>
        </a:xfrm>
      </xdr:grpSpPr>
      <xdr:pic>
        <xdr:nvPicPr>
          <xdr:cNvPr id="717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717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www.conflictfreesmelter.org/" TargetMode="External"/><Relationship Id="rId7" Type="http://schemas.openxmlformats.org/officeDocument/2006/relationships/comments" Target="../comments2.xml"/><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4.bin"/><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6.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22"/>
  <sheetViews>
    <sheetView topLeftCell="A4" workbookViewId="0">
      <selection activeCell="C15" sqref="C15"/>
    </sheetView>
  </sheetViews>
  <sheetFormatPr defaultRowHeight="12.75"/>
  <cols>
    <col min="1" max="1" width="1.625" style="1" customWidth="1"/>
    <col min="2" max="2" width="25.625" style="1" bestFit="1" customWidth="1"/>
    <col min="3" max="3" width="16.625" style="1" customWidth="1"/>
    <col min="4" max="5" width="15" style="1" customWidth="1"/>
    <col min="6" max="6" width="14.625" style="1" customWidth="1"/>
    <col min="7" max="7" width="7.625" style="1" bestFit="1" customWidth="1"/>
    <col min="8" max="8" width="5.5" style="1" bestFit="1" customWidth="1"/>
    <col min="9" max="9" width="1.625" style="1" customWidth="1"/>
    <col min="10" max="16384" width="9" style="1"/>
  </cols>
  <sheetData>
    <row r="1" spans="1:9" ht="13.5" customHeight="1" thickTop="1">
      <c r="A1" s="24"/>
      <c r="B1" s="25"/>
      <c r="C1" s="25"/>
      <c r="D1" s="25"/>
      <c r="E1" s="25"/>
      <c r="F1" s="25"/>
      <c r="G1" s="25"/>
      <c r="H1" s="25"/>
      <c r="I1" s="26"/>
    </row>
    <row r="2" spans="1:9">
      <c r="A2" s="228"/>
      <c r="B2" s="231"/>
      <c r="C2" s="232"/>
      <c r="D2" s="232"/>
      <c r="E2" s="232"/>
      <c r="F2" s="232"/>
      <c r="G2" s="232"/>
      <c r="H2" s="232"/>
      <c r="I2" s="226"/>
    </row>
    <row r="3" spans="1:9">
      <c r="A3" s="228"/>
      <c r="B3" s="5"/>
      <c r="C3" s="5"/>
      <c r="D3" s="5"/>
      <c r="E3" s="5"/>
      <c r="F3" s="5"/>
      <c r="G3" s="5"/>
      <c r="H3" s="5"/>
      <c r="I3" s="226"/>
    </row>
    <row r="4" spans="1:9" ht="15.75">
      <c r="A4" s="228"/>
      <c r="B4" s="8"/>
      <c r="C4" s="8"/>
      <c r="D4" s="8"/>
      <c r="E4" s="8"/>
      <c r="F4" s="8"/>
      <c r="G4" s="8"/>
      <c r="H4" s="8"/>
      <c r="I4" s="226"/>
    </row>
    <row r="5" spans="1:9">
      <c r="A5" s="228"/>
      <c r="B5" s="3"/>
      <c r="C5" s="3"/>
      <c r="D5" s="3"/>
      <c r="E5" s="3"/>
      <c r="F5" s="3"/>
      <c r="G5" s="3"/>
      <c r="H5" s="3"/>
      <c r="I5" s="226"/>
    </row>
    <row r="6" spans="1:9">
      <c r="A6" s="228"/>
      <c r="B6" s="23"/>
      <c r="C6" s="23"/>
      <c r="D6" s="23"/>
      <c r="E6" s="23"/>
      <c r="F6" s="23"/>
      <c r="G6" s="23"/>
      <c r="H6" s="23"/>
      <c r="I6" s="226"/>
    </row>
    <row r="7" spans="1:9">
      <c r="A7" s="228"/>
      <c r="B7" s="23"/>
      <c r="C7" s="23"/>
      <c r="D7" s="23"/>
      <c r="E7" s="23"/>
      <c r="F7" s="23"/>
      <c r="G7" s="23"/>
      <c r="H7" s="23"/>
      <c r="I7" s="226"/>
    </row>
    <row r="8" spans="1:9">
      <c r="A8" s="228"/>
      <c r="B8" s="23"/>
      <c r="C8" s="23"/>
      <c r="D8" s="23"/>
      <c r="E8" s="23"/>
      <c r="F8" s="23"/>
      <c r="G8" s="23"/>
      <c r="H8" s="23"/>
      <c r="I8" s="226"/>
    </row>
    <row r="9" spans="1:9" ht="13.5" thickBot="1">
      <c r="A9" s="228"/>
      <c r="B9" s="23"/>
      <c r="C9" s="23"/>
      <c r="D9" s="23"/>
      <c r="E9" s="23"/>
      <c r="F9" s="23"/>
      <c r="G9" s="23"/>
      <c r="H9" s="23"/>
      <c r="I9" s="226"/>
    </row>
    <row r="10" spans="1:9" ht="18.75" thickBot="1">
      <c r="A10" s="228"/>
      <c r="F10" s="233" t="s">
        <v>1319</v>
      </c>
      <c r="G10" s="234"/>
      <c r="H10" s="235"/>
      <c r="I10" s="226"/>
    </row>
    <row r="11" spans="1:9" ht="21" thickBot="1">
      <c r="A11" s="228"/>
      <c r="B11" s="13" t="s">
        <v>1323</v>
      </c>
      <c r="C11" s="12"/>
      <c r="D11" s="12"/>
      <c r="E11" s="12"/>
      <c r="F11" s="236" t="s">
        <v>1269</v>
      </c>
      <c r="G11" s="237"/>
      <c r="H11" s="237"/>
      <c r="I11" s="226"/>
    </row>
    <row r="12" spans="1:9" ht="32.25" thickBot="1">
      <c r="A12" s="228"/>
      <c r="B12" s="14" t="s">
        <v>1321</v>
      </c>
      <c r="C12" s="15" t="s">
        <v>1324</v>
      </c>
      <c r="D12" s="15" t="s">
        <v>1325</v>
      </c>
      <c r="E12" s="16" t="s">
        <v>2186</v>
      </c>
      <c r="F12" s="237"/>
      <c r="G12" s="237"/>
      <c r="H12" s="237"/>
      <c r="I12" s="226"/>
    </row>
    <row r="13" spans="1:9" ht="30.75" thickBot="1">
      <c r="A13" s="228"/>
      <c r="B13" s="17">
        <v>1</v>
      </c>
      <c r="C13" s="18" t="s">
        <v>2187</v>
      </c>
      <c r="D13" s="18" t="s">
        <v>2292</v>
      </c>
      <c r="E13" s="19" t="s">
        <v>1824</v>
      </c>
      <c r="F13" s="237"/>
      <c r="G13" s="237"/>
      <c r="H13" s="237"/>
      <c r="I13" s="226"/>
    </row>
    <row r="14" spans="1:9" ht="135.75" thickBot="1">
      <c r="A14" s="228"/>
      <c r="B14" s="17">
        <v>2</v>
      </c>
      <c r="C14" s="18" t="s">
        <v>800</v>
      </c>
      <c r="D14" s="18" t="s">
        <v>2292</v>
      </c>
      <c r="E14" s="19" t="s">
        <v>331</v>
      </c>
      <c r="F14" s="237"/>
      <c r="G14" s="237"/>
      <c r="H14" s="237"/>
      <c r="I14" s="226"/>
    </row>
    <row r="15" spans="1:9" ht="15.75" thickBot="1">
      <c r="A15" s="228"/>
      <c r="B15" s="20"/>
      <c r="C15" s="21"/>
      <c r="D15" s="21"/>
      <c r="E15" s="22"/>
      <c r="F15" s="237"/>
      <c r="G15" s="237"/>
      <c r="H15" s="237"/>
      <c r="I15" s="226"/>
    </row>
    <row r="16" spans="1:9" ht="15.75" thickBot="1">
      <c r="A16" s="228"/>
      <c r="B16" s="20"/>
      <c r="C16" s="21"/>
      <c r="D16" s="21"/>
      <c r="E16" s="22"/>
      <c r="F16" s="237"/>
      <c r="G16" s="237"/>
      <c r="H16" s="237"/>
      <c r="I16" s="226"/>
    </row>
    <row r="17" spans="1:9" ht="15.75" thickBot="1">
      <c r="A17" s="228"/>
      <c r="B17" s="20"/>
      <c r="C17" s="21"/>
      <c r="D17" s="21"/>
      <c r="E17" s="22"/>
      <c r="F17" s="237"/>
      <c r="G17" s="237"/>
      <c r="H17" s="237"/>
      <c r="I17" s="226"/>
    </row>
    <row r="18" spans="1:9" ht="15">
      <c r="A18" s="228"/>
      <c r="B18" s="20"/>
      <c r="C18" s="21"/>
      <c r="D18" s="21"/>
      <c r="E18" s="22"/>
      <c r="F18" s="9" t="s">
        <v>1320</v>
      </c>
      <c r="G18" s="10" t="s">
        <v>1321</v>
      </c>
      <c r="H18" s="10" t="s">
        <v>1322</v>
      </c>
      <c r="I18" s="226"/>
    </row>
    <row r="19" spans="1:9" ht="15.75" thickBot="1">
      <c r="A19" s="228"/>
      <c r="B19" s="20"/>
      <c r="C19" s="21"/>
      <c r="D19" s="21"/>
      <c r="E19" s="22"/>
      <c r="F19" s="11"/>
      <c r="G19" s="11">
        <v>2</v>
      </c>
      <c r="H19" s="11" t="s">
        <v>1812</v>
      </c>
      <c r="I19" s="226"/>
    </row>
    <row r="20" spans="1:9">
      <c r="A20" s="228"/>
      <c r="B20" s="12"/>
      <c r="C20" s="12"/>
      <c r="D20" s="12"/>
      <c r="E20" s="12"/>
      <c r="F20" s="12"/>
      <c r="G20" s="12"/>
      <c r="H20" s="12"/>
      <c r="I20" s="226"/>
    </row>
    <row r="21" spans="1:9" ht="13.5" thickBot="1">
      <c r="A21" s="229"/>
      <c r="B21" s="230" t="s">
        <v>2203</v>
      </c>
      <c r="C21" s="230"/>
      <c r="D21" s="230"/>
      <c r="E21" s="230"/>
      <c r="F21" s="230"/>
      <c r="G21" s="230"/>
      <c r="H21" s="230"/>
      <c r="I21" s="227"/>
    </row>
    <row r="22" spans="1:9" ht="13.5" thickTop="1">
      <c r="A22" s="4"/>
      <c r="B22" s="23"/>
      <c r="C22" s="23"/>
      <c r="D22" s="23"/>
      <c r="E22" s="23"/>
      <c r="F22" s="23"/>
      <c r="G22" s="23"/>
      <c r="H22" s="23"/>
      <c r="I22" s="23"/>
    </row>
  </sheetData>
  <sheetProtection password="C453" sheet="1" objects="1" scenarios="1"/>
  <customSheetViews>
    <customSheetView guid="{81CF54B1-70AB-4A68-BB72-21925B5D4874}" state="hidden">
      <selection activeCell="E26" sqref="E26"/>
      <pageMargins left="0.7" right="0.7" top="0.75" bottom="0.75" header="0.3" footer="0.3"/>
      <pageSetup orientation="portrait" r:id="rId1"/>
    </customSheetView>
  </customSheetViews>
  <mergeCells count="6">
    <mergeCell ref="I2:I21"/>
    <mergeCell ref="A2:A21"/>
    <mergeCell ref="B21:H21"/>
    <mergeCell ref="B2:H2"/>
    <mergeCell ref="F10:H10"/>
    <mergeCell ref="F11:H17"/>
  </mergeCells>
  <phoneticPr fontId="0" type="noConversion"/>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67"/>
  <sheetViews>
    <sheetView topLeftCell="A63" zoomScale="70" zoomScaleNormal="70" workbookViewId="0">
      <selection activeCell="C4" sqref="C4:G4"/>
    </sheetView>
  </sheetViews>
  <sheetFormatPr defaultRowHeight="12.75"/>
  <cols>
    <col min="1" max="1" width="111.875" customWidth="1"/>
    <col min="2" max="2" width="0.875" customWidth="1"/>
    <col min="3" max="6" width="8.25" customWidth="1"/>
    <col min="7" max="7" width="6.375" customWidth="1"/>
    <col min="8" max="8" width="2" customWidth="1"/>
    <col min="9" max="12" width="9" style="164" hidden="1" customWidth="1"/>
    <col min="13" max="16" width="8.75" style="164" hidden="1" customWidth="1"/>
  </cols>
  <sheetData>
    <row r="1" spans="1:16" ht="69" customHeight="1">
      <c r="A1" s="77" t="str">
        <f>IF($C$4="English",I2,IF($C$4="中文 Chinese",J2,IF($C$4="日本語 Japanese",K2,IF($C$4="한국어 Korean",L2,IF($C$4="Français",M2,IF($C$4="Português",N2,IF($C$4="Deutsch",O2,IF($C$4="Español",P2))))))))</f>
        <v>EICC Extractives website: (www.eicc.info/extractives.htm)
training, request template, FAQs, Conflict-Free Smelters (CFS) list</v>
      </c>
      <c r="C1" s="244" t="s">
        <v>535</v>
      </c>
      <c r="D1" s="244"/>
      <c r="E1" s="244"/>
      <c r="F1" s="244"/>
      <c r="G1" s="244"/>
      <c r="I1" s="95" t="s">
        <v>2207</v>
      </c>
      <c r="J1" s="95" t="s">
        <v>2208</v>
      </c>
      <c r="K1" s="95" t="s">
        <v>2209</v>
      </c>
      <c r="L1" s="95" t="s">
        <v>2210</v>
      </c>
      <c r="M1" s="95" t="s">
        <v>756</v>
      </c>
      <c r="N1" s="95" t="s">
        <v>757</v>
      </c>
      <c r="O1" s="95" t="s">
        <v>758</v>
      </c>
      <c r="P1" s="95" t="s">
        <v>454</v>
      </c>
    </row>
    <row r="2" spans="1:16" ht="15.75">
      <c r="A2" s="77" t="str">
        <f>IF($C$4="English",I3,IF($C$4="中文 Chinese",J3,IF($C$4="日本語 Japanese",K3,IF($C$4="한국어 Korean",L3,IF($C$4="Français",M3,IF($C$4="Português",N3,IF($C$4="Deutsch",O3,IF($C$4="Español",P3))))))))</f>
        <v>Introduction</v>
      </c>
      <c r="C2" s="245"/>
      <c r="D2" s="245"/>
      <c r="E2" s="245"/>
      <c r="F2" s="245"/>
      <c r="G2" s="245"/>
      <c r="I2" s="84" t="s">
        <v>2206</v>
      </c>
      <c r="J2" s="84" t="s">
        <v>1817</v>
      </c>
      <c r="K2" s="84" t="s">
        <v>1818</v>
      </c>
      <c r="L2" s="84" t="s">
        <v>509</v>
      </c>
      <c r="M2" s="84" t="s">
        <v>973</v>
      </c>
      <c r="N2" s="84" t="s">
        <v>974</v>
      </c>
      <c r="O2" s="84" t="s">
        <v>453</v>
      </c>
      <c r="P2" s="84" t="s">
        <v>455</v>
      </c>
    </row>
    <row r="3" spans="1:16" ht="139.9" customHeight="1">
      <c r="A3" s="77" t="str">
        <f>IF($C$4="English",I4,IF($C$4="中文 Chinese",J4,IF($C$4="日本語 Japanese",K4,IF($C$4="한국어 Korean",L4,IF($C$4="Français",M4,IF($C$4="Português",N4,IF($C$4="Deutsch",O4,IF($C$4="Español",P4))))))))</f>
        <v>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v>
      </c>
      <c r="C3" s="245"/>
      <c r="D3" s="245"/>
      <c r="E3" s="245"/>
      <c r="F3" s="245"/>
      <c r="G3" s="245"/>
      <c r="I3" s="85" t="s">
        <v>2188</v>
      </c>
      <c r="J3" s="85" t="s">
        <v>2258</v>
      </c>
      <c r="K3" s="85" t="s">
        <v>2259</v>
      </c>
      <c r="L3" s="85" t="s">
        <v>975</v>
      </c>
      <c r="M3" s="85" t="s">
        <v>2188</v>
      </c>
      <c r="N3" s="85" t="s">
        <v>976</v>
      </c>
      <c r="O3" s="85" t="s">
        <v>977</v>
      </c>
      <c r="P3" s="85" t="s">
        <v>456</v>
      </c>
    </row>
    <row r="4" spans="1:16" ht="189" customHeight="1">
      <c r="A4" s="77" t="str">
        <f>IF($C$4="English",I5,IF($C$4="中文 Chinese",J5,IF($C$4="日本語 Japanese",K5,IF($C$4="한국어 Korean",L5,IF($C$4="Français",M5,IF($C$4="Português",N5,IF($C$4="Deutsch",O5,IF($C$4="Español",P5))))))))</f>
        <v>*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v>
      </c>
      <c r="C4" s="238" t="s">
        <v>2207</v>
      </c>
      <c r="D4" s="239"/>
      <c r="E4" s="239"/>
      <c r="F4" s="239"/>
      <c r="G4" s="240"/>
      <c r="I4" s="86" t="s">
        <v>1771</v>
      </c>
      <c r="J4" s="86" t="s">
        <v>978</v>
      </c>
      <c r="K4" s="86" t="s">
        <v>979</v>
      </c>
      <c r="L4" s="86" t="s">
        <v>510</v>
      </c>
      <c r="M4" s="86" t="s">
        <v>1002</v>
      </c>
      <c r="N4" s="86" t="s">
        <v>1003</v>
      </c>
      <c r="O4" s="86" t="s">
        <v>362</v>
      </c>
      <c r="P4" s="86" t="s">
        <v>1027</v>
      </c>
    </row>
    <row r="5" spans="1:16" ht="19.5">
      <c r="A5" s="78"/>
      <c r="I5" s="213" t="s">
        <v>32</v>
      </c>
      <c r="J5" s="213" t="s">
        <v>357</v>
      </c>
      <c r="K5" s="213" t="s">
        <v>341</v>
      </c>
      <c r="L5" s="213" t="s">
        <v>358</v>
      </c>
      <c r="M5" s="213" t="s">
        <v>359</v>
      </c>
      <c r="N5" s="213" t="s">
        <v>360</v>
      </c>
      <c r="O5" s="213" t="s">
        <v>361</v>
      </c>
      <c r="P5" s="213" t="s">
        <v>583</v>
      </c>
    </row>
    <row r="6" spans="1:16" ht="31.5">
      <c r="A6" s="77" t="str">
        <f>IF($C$4="English",I6,IF($C$4="中文 Chinese",J6,IF($C$4="日本語 Japanese",K6,IF($C$4="한국어 Korean",L6,IF($C$4="Français",M6,IF($C$4="Português",N6,IF($C$4="Deutsch",O6,IF($C$4="Español",P6))))))))</f>
        <v>Instructions for completing Company Information questions (rows 7 - 17).
Provide comments in ENGLISH only</v>
      </c>
      <c r="I6" s="89" t="s">
        <v>2134</v>
      </c>
      <c r="J6" s="89" t="s">
        <v>2229</v>
      </c>
      <c r="K6" s="89" t="s">
        <v>1004</v>
      </c>
      <c r="L6" s="89" t="s">
        <v>1005</v>
      </c>
      <c r="M6" s="89" t="s">
        <v>210</v>
      </c>
      <c r="N6" s="89" t="s">
        <v>1006</v>
      </c>
      <c r="O6" s="89" t="s">
        <v>363</v>
      </c>
      <c r="P6" s="89" t="s">
        <v>227</v>
      </c>
    </row>
    <row r="7" spans="1:16" ht="18">
      <c r="A7" s="77" t="str">
        <f t="shared" ref="A7:A14" si="0">IF($C$4="English",I7,IF($C$4="中文 Chinese",J7,IF($C$4="日本語 Japanese",K7,IF($C$4="한국어 Korean",L7,IF($C$4="Français",M7,IF($C$4="Português",N7,IF($C$4="Deutsch",O7,IF($C$4="Español",P7))))))))</f>
        <v xml:space="preserve">     Note:  Entries with (*) are mandatory fields. </v>
      </c>
      <c r="C7" s="241" t="s">
        <v>330</v>
      </c>
      <c r="D7" s="242"/>
      <c r="E7" s="242"/>
      <c r="F7" s="242"/>
      <c r="G7" s="243"/>
      <c r="I7" s="90" t="s">
        <v>2205</v>
      </c>
      <c r="J7" s="90" t="s">
        <v>2230</v>
      </c>
      <c r="K7" s="90" t="s">
        <v>1007</v>
      </c>
      <c r="L7" s="90" t="s">
        <v>1008</v>
      </c>
      <c r="M7" s="90" t="s">
        <v>1009</v>
      </c>
      <c r="N7" s="90" t="s">
        <v>1010</v>
      </c>
      <c r="O7" s="90" t="s">
        <v>364</v>
      </c>
      <c r="P7" s="90" t="s">
        <v>1028</v>
      </c>
    </row>
    <row r="8" spans="1:16" ht="15.75">
      <c r="A8" s="77" t="str">
        <f t="shared" si="0"/>
        <v>1.  Insert your company's Legal Name.  Please do not use abbreviations</v>
      </c>
      <c r="I8" s="87" t="s">
        <v>1772</v>
      </c>
      <c r="J8" s="87" t="s">
        <v>1011</v>
      </c>
      <c r="K8" s="87" t="s">
        <v>1012</v>
      </c>
      <c r="L8" s="87" t="s">
        <v>1013</v>
      </c>
      <c r="M8" s="87" t="s">
        <v>224</v>
      </c>
      <c r="N8" s="87" t="s">
        <v>1014</v>
      </c>
      <c r="O8" s="87" t="s">
        <v>365</v>
      </c>
      <c r="P8" s="87" t="s">
        <v>1029</v>
      </c>
    </row>
    <row r="9" spans="1:16" ht="82.9" customHeight="1">
      <c r="A9" s="77" t="str">
        <f t="shared" si="0"/>
        <v>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v>
      </c>
      <c r="I9" s="87" t="s">
        <v>1773</v>
      </c>
      <c r="J9" s="87" t="s">
        <v>1015</v>
      </c>
      <c r="K9" s="87" t="s">
        <v>1016</v>
      </c>
      <c r="L9" s="87" t="s">
        <v>1017</v>
      </c>
      <c r="M9" s="87" t="s">
        <v>1018</v>
      </c>
      <c r="N9" s="87" t="s">
        <v>1019</v>
      </c>
      <c r="O9" s="87" t="s">
        <v>366</v>
      </c>
      <c r="P9" s="87" t="s">
        <v>457</v>
      </c>
    </row>
    <row r="10" spans="1:16" ht="15.75">
      <c r="A10" s="77" t="str">
        <f t="shared" si="0"/>
        <v>3.  Insert your company’s unique identifier number or code (DUNS number, VAT number, etc)</v>
      </c>
      <c r="I10" s="87" t="s">
        <v>1774</v>
      </c>
      <c r="J10" s="87" t="s">
        <v>1020</v>
      </c>
      <c r="K10" s="87" t="s">
        <v>1021</v>
      </c>
      <c r="L10" s="87" t="s">
        <v>1022</v>
      </c>
      <c r="M10" s="87" t="s">
        <v>1023</v>
      </c>
      <c r="N10" s="87" t="s">
        <v>1024</v>
      </c>
      <c r="O10" s="87" t="s">
        <v>367</v>
      </c>
      <c r="P10" s="87" t="s">
        <v>458</v>
      </c>
    </row>
    <row r="11" spans="1:16" ht="15.75">
      <c r="A11" s="77" t="str">
        <f t="shared" si="0"/>
        <v>4.  Insert your full company address (street, city, state, country, postal code)</v>
      </c>
      <c r="I11" s="87" t="s">
        <v>1775</v>
      </c>
      <c r="J11" s="87" t="s">
        <v>1025</v>
      </c>
      <c r="K11" s="87" t="s">
        <v>1026</v>
      </c>
      <c r="L11" s="87" t="s">
        <v>2316</v>
      </c>
      <c r="M11" s="87" t="s">
        <v>2317</v>
      </c>
      <c r="N11" s="87" t="s">
        <v>2318</v>
      </c>
      <c r="O11" s="87" t="s">
        <v>2319</v>
      </c>
      <c r="P11" s="87" t="s">
        <v>459</v>
      </c>
    </row>
    <row r="12" spans="1:16" ht="40.9" customHeight="1">
      <c r="A12" s="77" t="str">
        <f t="shared" si="0"/>
        <v>5.  Please identify the authorized management representative responsible for the accuracy of the data in this template.</v>
      </c>
      <c r="I12" s="87" t="s">
        <v>37</v>
      </c>
      <c r="J12" s="87" t="s">
        <v>2320</v>
      </c>
      <c r="K12" s="87" t="s">
        <v>2321</v>
      </c>
      <c r="L12" s="87" t="s">
        <v>2322</v>
      </c>
      <c r="M12" s="87" t="s">
        <v>2323</v>
      </c>
      <c r="N12" s="87" t="s">
        <v>2324</v>
      </c>
      <c r="O12" s="87" t="s">
        <v>2325</v>
      </c>
      <c r="P12" s="87" t="s">
        <v>460</v>
      </c>
    </row>
    <row r="13" spans="1:16" ht="25.15" customHeight="1">
      <c r="A13" s="77" t="str">
        <f t="shared" si="0"/>
        <v>7.  Please enter the Date of Completion for this form using the format DD-MMM-YYYY</v>
      </c>
      <c r="I13" s="87" t="s">
        <v>1776</v>
      </c>
      <c r="J13" s="87" t="s">
        <v>2326</v>
      </c>
      <c r="K13" s="87" t="s">
        <v>2327</v>
      </c>
      <c r="L13" s="87" t="s">
        <v>2328</v>
      </c>
      <c r="M13" s="87" t="s">
        <v>2329</v>
      </c>
      <c r="N13" s="87" t="s">
        <v>2330</v>
      </c>
      <c r="O13" s="87" t="s">
        <v>368</v>
      </c>
      <c r="P13" s="87" t="s">
        <v>461</v>
      </c>
    </row>
    <row r="14" spans="1:16" ht="39.6" customHeight="1">
      <c r="A14" s="77" t="str">
        <f t="shared" si="0"/>
        <v>8.  Save the file name as:  companyname-date.xls (date as YYYY-MM-DD)</v>
      </c>
      <c r="I14" s="87" t="s">
        <v>1777</v>
      </c>
      <c r="J14" s="87" t="s">
        <v>2331</v>
      </c>
      <c r="K14" s="87" t="s">
        <v>2332</v>
      </c>
      <c r="L14" s="87" t="s">
        <v>2333</v>
      </c>
      <c r="M14" s="87" t="s">
        <v>2334</v>
      </c>
      <c r="N14" s="87" t="s">
        <v>2335</v>
      </c>
      <c r="O14" s="87" t="s">
        <v>369</v>
      </c>
      <c r="P14" s="87" t="s">
        <v>462</v>
      </c>
    </row>
    <row r="15" spans="1:16" ht="23.25">
      <c r="A15" s="78"/>
      <c r="I15" s="89" t="s">
        <v>2135</v>
      </c>
      <c r="J15" s="89" t="s">
        <v>2336</v>
      </c>
      <c r="K15" s="89" t="s">
        <v>2337</v>
      </c>
      <c r="L15" s="89" t="s">
        <v>2338</v>
      </c>
      <c r="M15" s="89" t="s">
        <v>2339</v>
      </c>
      <c r="N15" s="89" t="s">
        <v>1326</v>
      </c>
      <c r="O15" s="89" t="s">
        <v>370</v>
      </c>
      <c r="P15" s="89" t="s">
        <v>463</v>
      </c>
    </row>
    <row r="16" spans="1:16" ht="31.5">
      <c r="A16" s="77" t="str">
        <f>IF($C$4="English",I15,IF($C$4="中文 Chinese",J15,IF($C$4="日本語 Japanese",K15,IF($C$4="한국어 Korean",L15,IF($C$4="Français",M15,IF($C$4="Português",N15,IF($C$4="Deutsch",O15,IF($C$4="Español",P15))))))))</f>
        <v>Instructions for completing the six Due Diligence Questions (rows 21 - 51).
Provide answers in ENGLISH only</v>
      </c>
      <c r="I16" s="88" t="s">
        <v>1727</v>
      </c>
      <c r="J16" s="88" t="s">
        <v>1327</v>
      </c>
      <c r="K16" s="88" t="s">
        <v>1328</v>
      </c>
      <c r="L16" s="88" t="s">
        <v>1030</v>
      </c>
      <c r="M16" s="88" t="s">
        <v>1031</v>
      </c>
      <c r="N16" s="88" t="s">
        <v>1032</v>
      </c>
      <c r="O16" s="88" t="s">
        <v>371</v>
      </c>
      <c r="P16" s="88" t="s">
        <v>464</v>
      </c>
    </row>
    <row r="17" spans="1:16" ht="57.6" customHeight="1">
      <c r="A17" s="77" t="str">
        <f t="shared" ref="A17:A27" si="1">IF($C$4="English",I16,IF($C$4="中文 Chinese",J16,IF($C$4="日本語 Japanese",K16,IF($C$4="한국어 Korean",L16,IF($C$4="Français",M16,IF($C$4="Português",N16,IF($C$4="Deutsch",O16,IF($C$4="Español",P16))))))))</f>
        <v>These six questions define the usage, origination and sourcing identification for each of the metals. Responses to these questions shall represent the ‘Declaration Scope’ selected in the company information section.</v>
      </c>
      <c r="I17" s="87" t="s">
        <v>1728</v>
      </c>
      <c r="J17" s="87" t="s">
        <v>1033</v>
      </c>
      <c r="K17" s="87" t="s">
        <v>1034</v>
      </c>
      <c r="L17" s="87" t="s">
        <v>1035</v>
      </c>
      <c r="M17" s="87" t="s">
        <v>1036</v>
      </c>
      <c r="N17" s="87" t="s">
        <v>1037</v>
      </c>
      <c r="O17" s="87" t="s">
        <v>372</v>
      </c>
      <c r="P17" s="87" t="s">
        <v>465</v>
      </c>
    </row>
    <row r="18" spans="1:16" ht="51" customHeight="1">
      <c r="A18" s="77" t="str">
        <f t="shared" si="1"/>
        <v>For each of the six required questions, provide an answer for each metal using the pull down menu selections.</v>
      </c>
      <c r="I18" s="87" t="s">
        <v>1729</v>
      </c>
      <c r="J18" s="87" t="s">
        <v>1038</v>
      </c>
      <c r="K18" s="87" t="s">
        <v>1039</v>
      </c>
      <c r="L18" s="87" t="s">
        <v>1040</v>
      </c>
      <c r="M18" s="87" t="s">
        <v>1041</v>
      </c>
      <c r="N18" s="87" t="s">
        <v>1042</v>
      </c>
      <c r="O18" s="87" t="s">
        <v>373</v>
      </c>
      <c r="P18" s="87" t="s">
        <v>466</v>
      </c>
    </row>
    <row r="19" spans="1:16" ht="57" customHeight="1">
      <c r="A19" s="77" t="str">
        <f t="shared" si="1"/>
        <v>1. If the answer provided for any metal listed is “No”, all remaining fields within this section will be highlighted black, indicating that no further responses are required and your declaration is considered complete.</v>
      </c>
      <c r="I19" s="87" t="s">
        <v>1730</v>
      </c>
      <c r="J19" s="87" t="s">
        <v>1043</v>
      </c>
      <c r="K19" s="87" t="s">
        <v>1044</v>
      </c>
      <c r="L19" s="87" t="s">
        <v>1045</v>
      </c>
      <c r="M19" s="87" t="s">
        <v>1046</v>
      </c>
      <c r="N19" s="87" t="s">
        <v>1047</v>
      </c>
      <c r="O19" s="87" t="s">
        <v>374</v>
      </c>
      <c r="P19" s="87" t="s">
        <v>467</v>
      </c>
    </row>
    <row r="20" spans="1:16" ht="37.15" customHeight="1">
      <c r="A20" s="77" t="str">
        <f t="shared" si="1"/>
        <v>If the answer provided for any metal listed is “Yes”, responses are required for Questions 2 through 6, as indicated by the yellow highlighted fields.</v>
      </c>
      <c r="I20" s="87" t="s">
        <v>1731</v>
      </c>
      <c r="J20" s="87" t="s">
        <v>1048</v>
      </c>
      <c r="K20" s="87" t="s">
        <v>1049</v>
      </c>
      <c r="L20" s="87" t="s">
        <v>1050</v>
      </c>
      <c r="M20" s="87" t="s">
        <v>1051</v>
      </c>
      <c r="N20" s="87" t="s">
        <v>1052</v>
      </c>
      <c r="O20" s="87" t="s">
        <v>375</v>
      </c>
      <c r="P20" s="87" t="s">
        <v>468</v>
      </c>
    </row>
    <row r="21" spans="1:16" ht="29.45" customHeight="1">
      <c r="A21" s="77" t="str">
        <f t="shared" si="1"/>
        <v>2 and 3. For each metal, select the appropriate response regarding its origination.</v>
      </c>
      <c r="I21" s="87" t="s">
        <v>1732</v>
      </c>
      <c r="J21" s="87" t="s">
        <v>1053</v>
      </c>
      <c r="K21" s="87" t="s">
        <v>1054</v>
      </c>
      <c r="L21" s="87" t="s">
        <v>1055</v>
      </c>
      <c r="M21" s="87" t="s">
        <v>1056</v>
      </c>
      <c r="N21" s="87" t="s">
        <v>1057</v>
      </c>
      <c r="O21" s="87" t="s">
        <v>376</v>
      </c>
      <c r="P21" s="87" t="s">
        <v>469</v>
      </c>
    </row>
    <row r="22" spans="1:16" ht="37.9" customHeight="1">
      <c r="A22" s="77" t="str">
        <f t="shared" si="1"/>
        <v>4. For each metal, select the appropriate response best representing the status of your supplier data collection activities.</v>
      </c>
      <c r="I22" s="87" t="s">
        <v>1733</v>
      </c>
      <c r="J22" s="87" t="s">
        <v>1058</v>
      </c>
      <c r="K22" s="87" t="s">
        <v>1059</v>
      </c>
      <c r="L22" s="87" t="s">
        <v>1060</v>
      </c>
      <c r="M22" s="87" t="s">
        <v>2136</v>
      </c>
      <c r="N22" s="87" t="s">
        <v>2137</v>
      </c>
      <c r="O22" s="87" t="s">
        <v>377</v>
      </c>
      <c r="P22" s="87" t="s">
        <v>470</v>
      </c>
    </row>
    <row r="23" spans="1:16" ht="38.450000000000003" customHeight="1">
      <c r="A23" s="77" t="str">
        <f t="shared" si="1"/>
        <v>5. For each metal, select the appropriate response best representing the status of your smelter identification efforts.</v>
      </c>
      <c r="I23" s="87" t="s">
        <v>1734</v>
      </c>
      <c r="J23" s="87" t="s">
        <v>2138</v>
      </c>
      <c r="K23" s="87" t="s">
        <v>2139</v>
      </c>
      <c r="L23" s="87" t="s">
        <v>2140</v>
      </c>
      <c r="M23" s="87" t="s">
        <v>2141</v>
      </c>
      <c r="N23" s="87" t="s">
        <v>2142</v>
      </c>
      <c r="O23" s="87" t="s">
        <v>378</v>
      </c>
      <c r="P23" s="87" t="s">
        <v>471</v>
      </c>
    </row>
    <row r="24" spans="1:16" ht="31.5">
      <c r="A24" s="77" t="str">
        <f t="shared" si="1"/>
        <v>6. For each metal, select the appropriate response based on a comparison of the smelters in your supply chain to the published CFS Compliant Smelter List.</v>
      </c>
      <c r="I24" s="87" t="s">
        <v>1735</v>
      </c>
      <c r="J24" s="87" t="s">
        <v>2143</v>
      </c>
      <c r="K24" s="87" t="s">
        <v>2144</v>
      </c>
      <c r="L24" s="87" t="s">
        <v>511</v>
      </c>
      <c r="M24" s="87" t="s">
        <v>2145</v>
      </c>
      <c r="N24" s="87" t="s">
        <v>2146</v>
      </c>
      <c r="O24" s="87" t="s">
        <v>379</v>
      </c>
      <c r="P24" s="87" t="s">
        <v>472</v>
      </c>
    </row>
    <row r="25" spans="1:16" ht="28.15" customHeight="1">
      <c r="A25" s="77" t="str">
        <f t="shared" si="1"/>
        <v>Refer to the link above the comment section for verifying smelter status.</v>
      </c>
      <c r="I25" s="87" t="s">
        <v>1736</v>
      </c>
      <c r="J25" s="87" t="s">
        <v>2147</v>
      </c>
      <c r="K25" s="87" t="s">
        <v>2148</v>
      </c>
      <c r="L25" s="87" t="s">
        <v>2149</v>
      </c>
      <c r="M25" s="87" t="s">
        <v>2150</v>
      </c>
      <c r="N25" s="87" t="s">
        <v>2151</v>
      </c>
      <c r="O25" s="87" t="s">
        <v>380</v>
      </c>
      <c r="P25" s="87" t="s">
        <v>473</v>
      </c>
    </row>
    <row r="26" spans="1:16" ht="45" customHeight="1">
      <c r="A26" s="77" t="str">
        <f t="shared" si="1"/>
        <v>Provide comments in the Comment sections as required to clarify your responses.</v>
      </c>
      <c r="I26" s="89" t="s">
        <v>1756</v>
      </c>
      <c r="J26" s="89" t="s">
        <v>2152</v>
      </c>
      <c r="K26" s="89" t="s">
        <v>2153</v>
      </c>
      <c r="L26" s="89" t="s">
        <v>2154</v>
      </c>
      <c r="M26" s="89" t="s">
        <v>1065</v>
      </c>
      <c r="N26" s="89" t="s">
        <v>1066</v>
      </c>
      <c r="O26" s="89" t="s">
        <v>1067</v>
      </c>
      <c r="P26" s="89" t="s">
        <v>474</v>
      </c>
    </row>
    <row r="27" spans="1:16" ht="33.6" customHeight="1">
      <c r="A27" s="77" t="str">
        <f t="shared" si="1"/>
        <v>Instructions for completing Questions A. – J. (rows 53 - 73).
Provide answers in ENGLISH only</v>
      </c>
      <c r="I27" s="87" t="s">
        <v>2123</v>
      </c>
      <c r="J27" s="87" t="s">
        <v>1068</v>
      </c>
      <c r="K27" s="87" t="s">
        <v>1069</v>
      </c>
      <c r="L27" s="87" t="s">
        <v>1070</v>
      </c>
      <c r="M27" s="87" t="s">
        <v>2158</v>
      </c>
      <c r="N27" s="87" t="s">
        <v>2159</v>
      </c>
      <c r="O27" s="87" t="s">
        <v>381</v>
      </c>
      <c r="P27" s="87" t="s">
        <v>475</v>
      </c>
    </row>
    <row r="28" spans="1:16" ht="19.5">
      <c r="A28" s="78"/>
      <c r="I28" s="91" t="s">
        <v>2189</v>
      </c>
      <c r="J28" s="91" t="s">
        <v>2160</v>
      </c>
      <c r="K28" s="91" t="s">
        <v>2161</v>
      </c>
      <c r="L28" s="91" t="s">
        <v>2162</v>
      </c>
      <c r="M28" s="91" t="s">
        <v>2163</v>
      </c>
      <c r="N28" s="91" t="s">
        <v>2164</v>
      </c>
      <c r="O28" s="91" t="s">
        <v>382</v>
      </c>
      <c r="P28" s="91" t="s">
        <v>476</v>
      </c>
    </row>
    <row r="29" spans="1:16" ht="153.6" customHeight="1">
      <c r="A29" s="77" t="str">
        <f>IF($C$4="English",I27,IF($C$4="中文 Chinese",J27,IF($C$4="日本語 Japanese",K27,IF($C$4="한국어 Korean",L27,IF($C$4="Français",M27,IF($C$4="Português",N27,IF($C$4="Deutsch",O27,IF($C$4="Español",P27))))))))</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I29" s="87" t="s">
        <v>2124</v>
      </c>
      <c r="J29" s="87" t="s">
        <v>2165</v>
      </c>
      <c r="K29" s="87" t="s">
        <v>2166</v>
      </c>
      <c r="L29" s="87" t="s">
        <v>2167</v>
      </c>
      <c r="M29" s="87" t="s">
        <v>2168</v>
      </c>
      <c r="N29" s="87" t="s">
        <v>2169</v>
      </c>
      <c r="O29" s="87" t="s">
        <v>383</v>
      </c>
      <c r="P29" s="87" t="s">
        <v>477</v>
      </c>
    </row>
    <row r="30" spans="1:16" ht="15.75">
      <c r="A30" s="77" t="str">
        <f t="shared" ref="A30:A40" si="2">IF($C$4="English",I28,IF($C$4="中文 Chinese",J28,IF($C$4="日本語 Japanese",K28,IF($C$4="한국어 Korean",L28,IF($C$4="Français",M28,IF($C$4="Português",N28,IF($C$4="Deutsch",O28,IF($C$4="Español",P28))))))))</f>
        <v xml:space="preserve">A.  Please answer “Yes” or “No”.  Provide any comments, if necessary. </v>
      </c>
      <c r="I30" s="91" t="s">
        <v>2125</v>
      </c>
      <c r="J30" s="91" t="s">
        <v>2170</v>
      </c>
      <c r="K30" s="91" t="s">
        <v>2171</v>
      </c>
      <c r="L30" s="91" t="s">
        <v>2172</v>
      </c>
      <c r="M30" s="91" t="s">
        <v>2173</v>
      </c>
      <c r="N30" s="91" t="s">
        <v>2174</v>
      </c>
      <c r="O30" s="91" t="s">
        <v>384</v>
      </c>
      <c r="P30" s="91" t="s">
        <v>478</v>
      </c>
    </row>
    <row r="31" spans="1:16" ht="27" customHeight="1">
      <c r="A31" s="77" t="str">
        <f t="shared" si="2"/>
        <v>B.  Please answer “Yes” or “No” If “Yes”, provide the web link in the comments section.</v>
      </c>
      <c r="I31" s="91" t="s">
        <v>2126</v>
      </c>
      <c r="J31" s="91" t="s">
        <v>2175</v>
      </c>
      <c r="K31" s="91" t="s">
        <v>2176</v>
      </c>
      <c r="L31" s="91" t="s">
        <v>512</v>
      </c>
      <c r="M31" s="91" t="s">
        <v>2116</v>
      </c>
      <c r="N31" s="91" t="s">
        <v>2117</v>
      </c>
      <c r="O31" s="91" t="s">
        <v>385</v>
      </c>
      <c r="P31" s="91" t="s">
        <v>479</v>
      </c>
    </row>
    <row r="32" spans="1:16" ht="70.900000000000006" customHeight="1">
      <c r="A32" s="77" t="str">
        <f t="shared" si="2"/>
        <v>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v>
      </c>
      <c r="I32" s="91" t="s">
        <v>2127</v>
      </c>
      <c r="J32" s="91" t="s">
        <v>2118</v>
      </c>
      <c r="K32" s="91" t="s">
        <v>2119</v>
      </c>
      <c r="L32" s="91" t="s">
        <v>2255</v>
      </c>
      <c r="M32" s="91" t="s">
        <v>841</v>
      </c>
      <c r="N32" s="91" t="s">
        <v>2120</v>
      </c>
      <c r="O32" s="91" t="s">
        <v>386</v>
      </c>
      <c r="P32" s="91" t="s">
        <v>1061</v>
      </c>
    </row>
    <row r="33" spans="1:16" ht="70.150000000000006" customHeight="1">
      <c r="A33" s="77" t="str">
        <f t="shared" si="2"/>
        <v>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v>
      </c>
      <c r="I33" s="92" t="s">
        <v>2128</v>
      </c>
      <c r="J33" s="92" t="s">
        <v>2121</v>
      </c>
      <c r="K33" s="92" t="s">
        <v>2122</v>
      </c>
      <c r="L33" s="92" t="s">
        <v>2256</v>
      </c>
      <c r="M33" s="92" t="s">
        <v>1088</v>
      </c>
      <c r="N33" s="92" t="s">
        <v>1089</v>
      </c>
      <c r="O33" s="92" t="s">
        <v>387</v>
      </c>
      <c r="P33" s="92" t="s">
        <v>1062</v>
      </c>
    </row>
    <row r="34" spans="1:16" ht="122.45" customHeight="1">
      <c r="A34" s="77" t="str">
        <f t="shared" si="2"/>
        <v>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v>
      </c>
      <c r="I34" s="91" t="s">
        <v>2129</v>
      </c>
      <c r="J34" s="91" t="s">
        <v>1090</v>
      </c>
      <c r="K34" s="91" t="s">
        <v>1091</v>
      </c>
      <c r="L34" s="91" t="s">
        <v>1092</v>
      </c>
      <c r="M34" s="91" t="s">
        <v>1093</v>
      </c>
      <c r="N34" s="91" t="s">
        <v>1094</v>
      </c>
      <c r="O34" s="91" t="s">
        <v>388</v>
      </c>
      <c r="P34" s="91" t="s">
        <v>1063</v>
      </c>
    </row>
    <row r="35" spans="1:16" ht="45.6" customHeight="1">
      <c r="A35" s="77" t="str">
        <f t="shared" si="2"/>
        <v>F. Please answer “Yes” or “No”.  If “No”, please describe what you request your suppliers to complete (e.g., certificate of compliance, custom form, etc.).</v>
      </c>
      <c r="I35" s="91" t="s">
        <v>2130</v>
      </c>
      <c r="J35" s="91" t="s">
        <v>1095</v>
      </c>
      <c r="K35" s="91" t="s">
        <v>1096</v>
      </c>
      <c r="L35" s="91" t="s">
        <v>1097</v>
      </c>
      <c r="M35" s="91" t="s">
        <v>1098</v>
      </c>
      <c r="N35" s="91" t="s">
        <v>1099</v>
      </c>
      <c r="O35" s="91" t="s">
        <v>389</v>
      </c>
      <c r="P35" s="91" t="s">
        <v>1071</v>
      </c>
    </row>
    <row r="36" spans="1:16" ht="15.75">
      <c r="A36" s="77" t="str">
        <f t="shared" si="2"/>
        <v>G.  Please answer “Yes” or “No”.  Provide any comments, if necessary.</v>
      </c>
      <c r="I36" s="91" t="s">
        <v>2131</v>
      </c>
      <c r="J36" s="91" t="s">
        <v>1100</v>
      </c>
      <c r="K36" s="91" t="s">
        <v>1101</v>
      </c>
      <c r="L36" s="91" t="s">
        <v>1102</v>
      </c>
      <c r="M36" s="91" t="s">
        <v>1103</v>
      </c>
      <c r="N36" s="91" t="s">
        <v>1104</v>
      </c>
      <c r="O36" s="91" t="s">
        <v>390</v>
      </c>
      <c r="P36" s="91" t="s">
        <v>1072</v>
      </c>
    </row>
    <row r="37" spans="1:16" ht="139.15" customHeight="1">
      <c r="A37" s="77" t="str">
        <f t="shared" si="2"/>
        <v>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v>
      </c>
      <c r="I37" s="91" t="s">
        <v>2132</v>
      </c>
      <c r="J37" s="91" t="s">
        <v>1105</v>
      </c>
      <c r="K37" s="91" t="s">
        <v>1106</v>
      </c>
      <c r="L37" s="91" t="s">
        <v>513</v>
      </c>
      <c r="M37" s="91" t="s">
        <v>1107</v>
      </c>
      <c r="N37" s="91" t="s">
        <v>1108</v>
      </c>
      <c r="O37" s="91" t="s">
        <v>391</v>
      </c>
      <c r="P37" s="91" t="s">
        <v>1073</v>
      </c>
    </row>
    <row r="38" spans="1:16" ht="58.15" customHeight="1">
      <c r="A38" s="77" t="str">
        <f t="shared" si="2"/>
        <v>I.  Please answer “Yes” or “No”.  If “Yes”, please describe how you manage your corrective action process.</v>
      </c>
      <c r="I38" s="89" t="s">
        <v>2133</v>
      </c>
      <c r="J38" s="89" t="s">
        <v>1109</v>
      </c>
      <c r="K38" s="89" t="s">
        <v>1110</v>
      </c>
      <c r="L38" s="89" t="s">
        <v>1111</v>
      </c>
      <c r="M38" s="89" t="s">
        <v>1112</v>
      </c>
      <c r="N38" s="89" t="s">
        <v>1113</v>
      </c>
      <c r="O38" s="89" t="s">
        <v>392</v>
      </c>
      <c r="P38" s="89" t="s">
        <v>1074</v>
      </c>
    </row>
    <row r="39" spans="1:16" ht="58.15" customHeight="1">
      <c r="A39" s="77" t="str">
        <f t="shared" si="2"/>
        <v>J.  Please answer “Yes” or “No”.  The SEC conflict minerals disclosure requirements apply to US exchange-traded companies that are subject to the US Securities Exchange Act. For more information please refer to www.sec.gov.</v>
      </c>
      <c r="I39" s="93" t="s">
        <v>2190</v>
      </c>
      <c r="J39" s="93" t="s">
        <v>2230</v>
      </c>
      <c r="K39" s="93" t="s">
        <v>1114</v>
      </c>
      <c r="L39" s="93" t="s">
        <v>1115</v>
      </c>
      <c r="M39" s="93" t="s">
        <v>1116</v>
      </c>
      <c r="N39" s="93" t="s">
        <v>1117</v>
      </c>
      <c r="O39" s="93" t="s">
        <v>393</v>
      </c>
      <c r="P39" s="93" t="s">
        <v>1075</v>
      </c>
    </row>
    <row r="40" spans="1:16" ht="39" customHeight="1">
      <c r="A40" s="77" t="str">
        <f t="shared" si="2"/>
        <v>Instructions for completing the Smelter List Tab.
Provide answers in ENGLISH only</v>
      </c>
      <c r="I40" s="211" t="s">
        <v>334</v>
      </c>
      <c r="J40" s="211" t="s">
        <v>335</v>
      </c>
      <c r="K40" s="211" t="s">
        <v>336</v>
      </c>
      <c r="L40" s="211" t="s">
        <v>333</v>
      </c>
      <c r="M40" s="211" t="s">
        <v>337</v>
      </c>
      <c r="N40" s="211" t="s">
        <v>338</v>
      </c>
      <c r="O40" s="211" t="s">
        <v>339</v>
      </c>
      <c r="P40" s="211" t="s">
        <v>340</v>
      </c>
    </row>
    <row r="41" spans="1:16" ht="19.5">
      <c r="A41" s="78"/>
      <c r="I41" s="209" t="s">
        <v>2199</v>
      </c>
      <c r="J41" s="209" t="s">
        <v>1118</v>
      </c>
      <c r="K41" s="209" t="s">
        <v>1119</v>
      </c>
      <c r="L41" s="209" t="s">
        <v>1120</v>
      </c>
      <c r="M41" s="209" t="s">
        <v>1121</v>
      </c>
      <c r="N41" s="209" t="s">
        <v>1122</v>
      </c>
      <c r="O41" s="209" t="s">
        <v>917</v>
      </c>
      <c r="P41" s="209" t="s">
        <v>1076</v>
      </c>
    </row>
    <row r="42" spans="1:16" ht="15.75">
      <c r="A42" s="77" t="str">
        <f t="shared" ref="A42:A56" si="3">IF($C$4="English",I39,IF($C$4="中文 Chinese",J39,IF($C$4="日本語 Japanese",K39,IF($C$4="한국어 Korean",L39,IF($C$4="Français",M39,IF($C$4="Português",N39,IF($C$4="Deutsch",O39,IF($C$4="Español",P39))))))))</f>
        <v>Note:  Columns with (*) are mandatory fields</v>
      </c>
      <c r="I42" s="209" t="s">
        <v>482</v>
      </c>
      <c r="J42" s="212" t="s">
        <v>499</v>
      </c>
      <c r="K42" s="212" t="s">
        <v>16</v>
      </c>
      <c r="L42" s="212" t="s">
        <v>500</v>
      </c>
      <c r="M42" s="212" t="s">
        <v>501</v>
      </c>
      <c r="N42" s="212" t="s">
        <v>502</v>
      </c>
      <c r="O42" s="212" t="s">
        <v>503</v>
      </c>
      <c r="P42" s="212" t="s">
        <v>504</v>
      </c>
    </row>
    <row r="43" spans="1:16" ht="73.900000000000006" customHeight="1">
      <c r="A43" s="77" t="str">
        <f t="shared" si="3"/>
        <v>This template allows for smelter identification using the Smelter Reference List. Columns B,C,D and E must be completed in order from left to right to utilize the Smelter Reference List feature.
Use a separate line for each metal/smelter/country combination</v>
      </c>
      <c r="I43" s="209" t="s">
        <v>483</v>
      </c>
      <c r="J43" s="209" t="s">
        <v>1083</v>
      </c>
      <c r="K43" s="209" t="s">
        <v>18</v>
      </c>
      <c r="L43" s="209" t="s">
        <v>1082</v>
      </c>
      <c r="M43" s="209" t="s">
        <v>1081</v>
      </c>
      <c r="N43" s="209" t="s">
        <v>3</v>
      </c>
      <c r="O43" s="209" t="s">
        <v>506</v>
      </c>
      <c r="P43" s="209" t="s">
        <v>505</v>
      </c>
    </row>
    <row r="44" spans="1:16" ht="55.15" customHeight="1">
      <c r="A44" s="77" t="str">
        <f t="shared" si="3"/>
        <v>1.  Metal (*)   -   Use the pull down menu to select the metal for which you are entering smelter information.</v>
      </c>
      <c r="I44" s="209" t="s">
        <v>484</v>
      </c>
      <c r="J44" s="209" t="s">
        <v>1084</v>
      </c>
      <c r="K44" s="209" t="s">
        <v>17</v>
      </c>
      <c r="L44" s="209" t="s">
        <v>1085</v>
      </c>
      <c r="M44" s="209" t="s">
        <v>1086</v>
      </c>
      <c r="N44" s="209" t="s">
        <v>531</v>
      </c>
      <c r="O44" s="209" t="s">
        <v>8</v>
      </c>
      <c r="P44" s="209" t="s">
        <v>9</v>
      </c>
    </row>
    <row r="45" spans="1:16" ht="78" customHeight="1">
      <c r="A45" s="77" t="str">
        <f t="shared" si="3"/>
        <v>2. Smelter Reference List(*) - Select from dropdown.  This is the list of known smelters as of template release date.  If smelter is not listed select 'Smelter Not Listed'</v>
      </c>
      <c r="I45" s="91" t="s">
        <v>924</v>
      </c>
      <c r="J45" s="91" t="s">
        <v>342</v>
      </c>
      <c r="K45" s="91" t="s">
        <v>351</v>
      </c>
      <c r="L45" s="91" t="s">
        <v>414</v>
      </c>
      <c r="M45" s="91" t="s">
        <v>423</v>
      </c>
      <c r="N45" s="91" t="s">
        <v>4</v>
      </c>
      <c r="O45" s="91" t="s">
        <v>395</v>
      </c>
      <c r="P45" s="91" t="s">
        <v>404</v>
      </c>
    </row>
    <row r="46" spans="1:16" ht="84.6" customHeight="1">
      <c r="A46" s="77" t="str">
        <f t="shared" si="3"/>
        <v>3. Standard Smelter Names (*)- Fill in smelter name if you selected 'Smelter Not Listed' in column 'c'.  This field will auto-populate when a smelter name in selected in column 'c'.</v>
      </c>
      <c r="I46" s="91" t="s">
        <v>925</v>
      </c>
      <c r="J46" s="91" t="s">
        <v>343</v>
      </c>
      <c r="K46" s="91" t="s">
        <v>352</v>
      </c>
      <c r="L46" s="91" t="s">
        <v>415</v>
      </c>
      <c r="M46" s="91" t="s">
        <v>424</v>
      </c>
      <c r="N46" s="91" t="s">
        <v>5</v>
      </c>
      <c r="O46" s="91" t="s">
        <v>396</v>
      </c>
      <c r="P46" s="91" t="s">
        <v>405</v>
      </c>
    </row>
    <row r="47" spans="1:16" ht="120.6" customHeight="1">
      <c r="A47" s="77" t="str">
        <f t="shared" si="3"/>
        <v>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v>
      </c>
      <c r="I47" s="91" t="s">
        <v>926</v>
      </c>
      <c r="J47" s="91" t="s">
        <v>344</v>
      </c>
      <c r="K47" s="91" t="s">
        <v>353</v>
      </c>
      <c r="L47" s="91" t="s">
        <v>416</v>
      </c>
      <c r="M47" s="91" t="s">
        <v>425</v>
      </c>
      <c r="N47" s="91" t="s">
        <v>6</v>
      </c>
      <c r="O47" s="91" t="s">
        <v>397</v>
      </c>
      <c r="P47" s="91" t="s">
        <v>406</v>
      </c>
    </row>
    <row r="48" spans="1:16" ht="68.45" customHeight="1">
      <c r="A48" s="77" t="str">
        <f t="shared" si="3"/>
        <v>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v>
      </c>
      <c r="I48" s="91" t="s">
        <v>927</v>
      </c>
      <c r="J48" s="91" t="s">
        <v>345</v>
      </c>
      <c r="K48" s="91" t="s">
        <v>354</v>
      </c>
      <c r="L48" s="91" t="s">
        <v>417</v>
      </c>
      <c r="M48" s="91" t="s">
        <v>426</v>
      </c>
      <c r="N48" s="91" t="s">
        <v>7</v>
      </c>
      <c r="O48" s="91" t="s">
        <v>398</v>
      </c>
      <c r="P48" s="91" t="s">
        <v>407</v>
      </c>
    </row>
    <row r="49" spans="1:16" ht="61.15" customHeight="1">
      <c r="A49" s="77" t="str">
        <f t="shared" si="3"/>
        <v>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v>
      </c>
      <c r="I49" s="91" t="s">
        <v>928</v>
      </c>
      <c r="J49" s="91" t="s">
        <v>346</v>
      </c>
      <c r="K49" s="91" t="s">
        <v>355</v>
      </c>
      <c r="L49" s="91" t="s">
        <v>418</v>
      </c>
      <c r="M49" s="91" t="s">
        <v>427</v>
      </c>
      <c r="N49" s="91" t="s">
        <v>639</v>
      </c>
      <c r="O49" s="91" t="s">
        <v>399</v>
      </c>
      <c r="P49" s="91" t="s">
        <v>408</v>
      </c>
    </row>
    <row r="50" spans="1:16" ht="75" customHeight="1">
      <c r="A50" s="77" t="str">
        <f t="shared" si="3"/>
        <v>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v>
      </c>
      <c r="I50" s="91" t="s">
        <v>929</v>
      </c>
      <c r="J50" s="91" t="s">
        <v>347</v>
      </c>
      <c r="K50" s="91" t="s">
        <v>356</v>
      </c>
      <c r="L50" s="91" t="s">
        <v>419</v>
      </c>
      <c r="M50" s="91" t="s">
        <v>428</v>
      </c>
      <c r="N50" s="91" t="s">
        <v>640</v>
      </c>
      <c r="O50" s="91" t="s">
        <v>400</v>
      </c>
      <c r="P50" s="91" t="s">
        <v>1064</v>
      </c>
    </row>
    <row r="51" spans="1:16" ht="53.45" customHeight="1">
      <c r="A51" s="77" t="str">
        <f t="shared" si="3"/>
        <v>8. Smelter Facility Contact Name – Fill in the name of the Smelter Facility Contact person who you worked with.</v>
      </c>
      <c r="I51" s="91" t="s">
        <v>930</v>
      </c>
      <c r="J51" s="91" t="s">
        <v>348</v>
      </c>
      <c r="K51" s="91" t="s">
        <v>411</v>
      </c>
      <c r="L51" s="91" t="s">
        <v>420</v>
      </c>
      <c r="M51" s="91" t="s">
        <v>0</v>
      </c>
      <c r="N51" s="91" t="s">
        <v>641</v>
      </c>
      <c r="O51" s="91" t="s">
        <v>401</v>
      </c>
      <c r="P51" s="91" t="s">
        <v>38</v>
      </c>
    </row>
    <row r="52" spans="1:16" ht="83.45" customHeight="1">
      <c r="A52" s="77" t="str">
        <f t="shared" si="3"/>
        <v>9. Smelter Facility Contact Email – Fill in the email address of the Smelter Facility contact person who was identified in step#7.  Example: John.Smith@SmelterXXX.com</v>
      </c>
      <c r="I52" s="91" t="s">
        <v>931</v>
      </c>
      <c r="J52" s="91" t="s">
        <v>349</v>
      </c>
      <c r="K52" s="91" t="s">
        <v>412</v>
      </c>
      <c r="L52" s="91" t="s">
        <v>421</v>
      </c>
      <c r="M52" s="91" t="s">
        <v>1</v>
      </c>
      <c r="N52" s="91" t="s">
        <v>642</v>
      </c>
      <c r="O52" s="91" t="s">
        <v>402</v>
      </c>
      <c r="P52" s="91" t="s">
        <v>480</v>
      </c>
    </row>
    <row r="53" spans="1:16" ht="78" customHeight="1">
      <c r="A53" s="77" t="str">
        <f t="shared" si="3"/>
        <v>10. Proposed next steps, if applicable – Provide the actions you will take with the smelter if the facility is not listed on the EICC-GeSI CFS list. Example: request smelter facility to be assessed through the CFS program, remove from preferred supplier list, etc.</v>
      </c>
      <c r="I53" s="91" t="s">
        <v>932</v>
      </c>
      <c r="J53" s="91" t="s">
        <v>350</v>
      </c>
      <c r="K53" s="91" t="s">
        <v>413</v>
      </c>
      <c r="L53" s="91" t="s">
        <v>422</v>
      </c>
      <c r="M53" s="91" t="s">
        <v>2</v>
      </c>
      <c r="N53" s="91" t="s">
        <v>394</v>
      </c>
      <c r="O53" s="91" t="s">
        <v>403</v>
      </c>
      <c r="P53" s="91" t="s">
        <v>481</v>
      </c>
    </row>
    <row r="54" spans="1:16" ht="83.45" customHeight="1">
      <c r="A54" s="77" t="str">
        <f t="shared" si="3"/>
        <v>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v>
      </c>
      <c r="I54" s="165" t="s">
        <v>1389</v>
      </c>
      <c r="J54" s="165" t="s">
        <v>1123</v>
      </c>
      <c r="K54" s="165" t="s">
        <v>1124</v>
      </c>
      <c r="L54" s="165" t="s">
        <v>802</v>
      </c>
      <c r="M54" s="165" t="s">
        <v>1125</v>
      </c>
      <c r="N54" s="165" t="s">
        <v>1126</v>
      </c>
      <c r="O54" s="165" t="s">
        <v>1127</v>
      </c>
      <c r="P54" s="165" t="s">
        <v>1077</v>
      </c>
    </row>
    <row r="55" spans="1:16" ht="69" customHeight="1">
      <c r="A55" s="77" t="str">
        <f t="shared" si="3"/>
        <v>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v>
      </c>
      <c r="I55" s="94" t="s">
        <v>1390</v>
      </c>
      <c r="J55" s="94" t="s">
        <v>1128</v>
      </c>
      <c r="K55" s="94" t="s">
        <v>1129</v>
      </c>
      <c r="L55" s="94" t="s">
        <v>514</v>
      </c>
      <c r="M55" s="94" t="s">
        <v>2304</v>
      </c>
      <c r="N55" s="94" t="s">
        <v>2305</v>
      </c>
      <c r="O55" s="94" t="s">
        <v>918</v>
      </c>
      <c r="P55" s="94" t="s">
        <v>1078</v>
      </c>
    </row>
    <row r="56" spans="1:16" ht="60.6" customHeight="1">
      <c r="A56" s="77" t="str">
        <f t="shared" si="3"/>
        <v>13. Comments – free form text field to enter any comments concerning the smelter.  Example: smelter is being acquired by Company YYY</v>
      </c>
      <c r="I56" s="94" t="s">
        <v>2155</v>
      </c>
      <c r="J56" s="94" t="s">
        <v>2306</v>
      </c>
      <c r="K56" s="94" t="s">
        <v>2307</v>
      </c>
      <c r="L56" s="94" t="s">
        <v>2308</v>
      </c>
      <c r="M56" s="94" t="s">
        <v>2309</v>
      </c>
      <c r="N56" s="94" t="s">
        <v>2310</v>
      </c>
      <c r="O56" s="94" t="s">
        <v>2311</v>
      </c>
      <c r="P56" s="94" t="s">
        <v>1079</v>
      </c>
    </row>
    <row r="57" spans="1:16" s="164" customFormat="1" ht="19.5">
      <c r="A57" s="210"/>
      <c r="I57" s="94" t="s">
        <v>2156</v>
      </c>
      <c r="J57" s="94" t="s">
        <v>2312</v>
      </c>
      <c r="K57" s="94" t="s">
        <v>2313</v>
      </c>
      <c r="L57" s="94" t="s">
        <v>1254</v>
      </c>
      <c r="M57" s="94" t="s">
        <v>1255</v>
      </c>
      <c r="N57" s="94" t="s">
        <v>1256</v>
      </c>
      <c r="O57" s="94" t="s">
        <v>1257</v>
      </c>
      <c r="P57" s="94" t="s">
        <v>1080</v>
      </c>
    </row>
    <row r="58" spans="1:16" ht="109.9" customHeight="1">
      <c r="A58" s="77" t="str">
        <f>IF($C$4="English",I54,IF($C$4="中文 Chinese",J54,IF($C$4="日本語 Japanese",K54,IF($C$4="한국어 Korean",L54,IF($C$4="Français",M54,IF($C$4="Português",N54,IF($C$4="Deutsch",O54,IF($C$4="Español",P54))))))))</f>
        <v>TERMS AND CONDITIONS</v>
      </c>
      <c r="I58" s="94" t="s">
        <v>2157</v>
      </c>
      <c r="J58" s="94" t="s">
        <v>643</v>
      </c>
      <c r="K58" s="94" t="s">
        <v>725</v>
      </c>
      <c r="L58" s="94" t="s">
        <v>726</v>
      </c>
      <c r="M58" s="94" t="s">
        <v>727</v>
      </c>
      <c r="N58" s="94" t="s">
        <v>1391</v>
      </c>
      <c r="O58" s="94" t="s">
        <v>744</v>
      </c>
      <c r="P58" s="94" t="s">
        <v>1087</v>
      </c>
    </row>
    <row r="59" spans="1:16" ht="189.6" customHeight="1">
      <c r="A59" s="77" t="str">
        <f t="shared" ref="A59:A65" si="4">IF($C$4="English",I55,IF($C$4="中文 Chinese",J55,IF($C$4="日本語 Japanese",K55,IF($C$4="한국어 Korean",L55,IF($C$4="Français",M55,IF($C$4="Português",N55,IF($C$4="Deutsch",O55,IF($C$4="Español",P55))))))))</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I59" s="94" t="s">
        <v>1768</v>
      </c>
      <c r="J59" s="94" t="s">
        <v>745</v>
      </c>
      <c r="K59" s="94" t="s">
        <v>746</v>
      </c>
      <c r="L59" s="94" t="s">
        <v>747</v>
      </c>
      <c r="M59" s="94" t="s">
        <v>748</v>
      </c>
      <c r="N59" s="94" t="s">
        <v>803</v>
      </c>
      <c r="O59" s="94" t="s">
        <v>749</v>
      </c>
      <c r="P59" s="94" t="s">
        <v>532</v>
      </c>
    </row>
    <row r="60" spans="1:16" ht="192" customHeight="1">
      <c r="A60" s="77" t="str">
        <f t="shared" si="4"/>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I60" s="94" t="s">
        <v>1769</v>
      </c>
      <c r="J60" s="94" t="s">
        <v>750</v>
      </c>
      <c r="K60" s="94" t="s">
        <v>751</v>
      </c>
      <c r="L60" s="94" t="s">
        <v>752</v>
      </c>
      <c r="M60" s="94" t="s">
        <v>753</v>
      </c>
      <c r="N60" s="94" t="s">
        <v>754</v>
      </c>
      <c r="O60" s="94" t="s">
        <v>755</v>
      </c>
      <c r="P60" s="94" t="s">
        <v>533</v>
      </c>
    </row>
    <row r="61" spans="1:16" ht="118.15" customHeight="1">
      <c r="A61" s="77" t="str">
        <f t="shared" si="4"/>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I61" s="166" t="s">
        <v>2183</v>
      </c>
      <c r="J61" s="166" t="s">
        <v>759</v>
      </c>
      <c r="K61" s="166" t="s">
        <v>2183</v>
      </c>
      <c r="L61" s="166" t="s">
        <v>2183</v>
      </c>
      <c r="M61" s="166" t="s">
        <v>760</v>
      </c>
      <c r="N61" s="166" t="s">
        <v>761</v>
      </c>
      <c r="O61" s="166" t="s">
        <v>2183</v>
      </c>
      <c r="P61" s="166" t="s">
        <v>534</v>
      </c>
    </row>
    <row r="62" spans="1:16" ht="222.6" customHeight="1">
      <c r="A62" s="77" t="str">
        <f t="shared" si="4"/>
        <v xml:space="preserve">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List or any Tool or use thereof. </v>
      </c>
    </row>
    <row r="63" spans="1:16" ht="77.45" customHeight="1">
      <c r="A63" s="77" t="str">
        <f t="shared" si="4"/>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row>
    <row r="64" spans="1:16" ht="55.15" customHeight="1">
      <c r="A64" s="77" t="str">
        <f t="shared" si="4"/>
        <v xml:space="preserve">By accessing and using the List or any Tool, and in consideration thereof, the User agrees to the foregoing. </v>
      </c>
    </row>
    <row r="65" spans="1:1" ht="37.15" customHeight="1">
      <c r="A65" s="77" t="str">
        <f t="shared" si="4"/>
        <v>© 2011 Electronic Industry Citizenship Coalition, Incorporated and Global e-Sustainability Initiative. All rights reserved.</v>
      </c>
    </row>
    <row r="66" spans="1:1" ht="15">
      <c r="A66" s="147" t="s">
        <v>1750</v>
      </c>
    </row>
    <row r="67" spans="1:1">
      <c r="A67" s="140"/>
    </row>
  </sheetData>
  <sheetProtection password="C453" sheet="1" objects="1" scenarios="1"/>
  <customSheetViews>
    <customSheetView guid="{81CF54B1-70AB-4A68-BB72-21925B5D4874}" hiddenColumns="1">
      <selection activeCell="C3" sqref="C3:G3"/>
      <pageMargins left="0.7" right="0.7" top="0.75" bottom="0.75" header="0.3" footer="0.3"/>
    </customSheetView>
  </customSheetViews>
  <mergeCells count="3">
    <mergeCell ref="C4:G4"/>
    <mergeCell ref="C7:G7"/>
    <mergeCell ref="C1:G3"/>
  </mergeCells>
  <phoneticPr fontId="0" type="noConversion"/>
  <dataValidations count="1">
    <dataValidation type="list" allowBlank="1" showInputMessage="1" showErrorMessage="1" sqref="C4:G4">
      <formula1>"English, 中文 Chinese,日本語 Japanese,한국어 Korean, Français,Português,Deutsch,Español"</formula1>
    </dataValidation>
  </dataValidations>
  <hyperlinks>
    <hyperlink ref="A66" location="Declaration!D7" display="Return to declaration tab"/>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25"/>
  <sheetViews>
    <sheetView topLeftCell="A23" zoomScale="70" zoomScaleNormal="70" workbookViewId="0">
      <selection activeCell="F5" sqref="F5:J5"/>
    </sheetView>
  </sheetViews>
  <sheetFormatPr defaultColWidth="8.75" defaultRowHeight="12.75"/>
  <cols>
    <col min="1" max="1" width="1.625" style="1" customWidth="1"/>
    <col min="2" max="2" width="29.375" style="1" bestFit="1" customWidth="1"/>
    <col min="3" max="3" width="69" style="1" customWidth="1"/>
    <col min="4" max="5" width="1.625" style="1" customWidth="1"/>
    <col min="6" max="9" width="8.75" style="1"/>
    <col min="10" max="10" width="9" style="1" customWidth="1"/>
    <col min="11" max="11" width="1.625" style="1" customWidth="1"/>
    <col min="12" max="12" width="33.875" style="1" hidden="1" customWidth="1"/>
    <col min="13" max="13" width="9" style="1" hidden="1" customWidth="1"/>
    <col min="14" max="14" width="27.5" style="1" hidden="1" customWidth="1"/>
    <col min="15" max="27" width="9" style="1" hidden="1" customWidth="1"/>
    <col min="28" max="16384" width="8.75" style="1"/>
  </cols>
  <sheetData>
    <row r="1" spans="1:27" ht="13.5" thickTop="1">
      <c r="A1" s="253"/>
      <c r="B1" s="254"/>
      <c r="C1" s="254"/>
      <c r="D1" s="255"/>
      <c r="F1" s="250" t="s">
        <v>535</v>
      </c>
      <c r="G1" s="250"/>
      <c r="H1" s="250"/>
      <c r="I1" s="250"/>
      <c r="J1" s="250"/>
      <c r="L1" s="31" t="s">
        <v>2207</v>
      </c>
      <c r="M1" s="31" t="s">
        <v>2208</v>
      </c>
      <c r="N1" s="31" t="s">
        <v>2209</v>
      </c>
      <c r="O1" s="31" t="s">
        <v>2210</v>
      </c>
      <c r="P1" s="31" t="s">
        <v>756</v>
      </c>
      <c r="Q1" s="31" t="s">
        <v>757</v>
      </c>
      <c r="R1" s="31" t="s">
        <v>758</v>
      </c>
      <c r="S1" s="31" t="s">
        <v>454</v>
      </c>
      <c r="T1" s="31" t="s">
        <v>2207</v>
      </c>
      <c r="U1" s="31" t="s">
        <v>2208</v>
      </c>
      <c r="V1" s="31" t="s">
        <v>2209</v>
      </c>
      <c r="W1" s="31" t="s">
        <v>2210</v>
      </c>
      <c r="X1" s="31" t="s">
        <v>756</v>
      </c>
      <c r="Y1" s="31" t="s">
        <v>757</v>
      </c>
      <c r="Z1" s="31" t="s">
        <v>758</v>
      </c>
      <c r="AA1" s="31" t="s">
        <v>454</v>
      </c>
    </row>
    <row r="2" spans="1:27" ht="15">
      <c r="A2" s="248"/>
      <c r="B2" s="99" t="str">
        <f>IF($F$5="English",L2,IF($F$5="中文 Chinese",M2,IF($F$5="日本語 Japanese",N2,IF($F$5="한국어 Korean",O2,IF($F$5="Français",P2,IF($F$5="Português",Q2,IF($F$5="Deutsch",R2,IF($F$5="Español",S2))))))))</f>
        <v>ITEM</v>
      </c>
      <c r="C2" s="99" t="str">
        <f>IF($F$5="English",T2,IF($F$5="中文 Chinese",U2,IF($F$5="日本語 Japanese",V2,IF($F$5="한국어 Korean",W2,IF($F$5="Français",X2,IF($F$5="Português",Y2,IF($F$5="Deutsch",Z2,IF($F$5="Español",AA2))))))))</f>
        <v>DEFINITION</v>
      </c>
      <c r="D2" s="246"/>
      <c r="F2" s="251"/>
      <c r="G2" s="251"/>
      <c r="H2" s="251"/>
      <c r="I2" s="251"/>
      <c r="J2" s="251"/>
      <c r="L2" s="100" t="s">
        <v>762</v>
      </c>
      <c r="M2" s="100" t="s">
        <v>2231</v>
      </c>
      <c r="N2" s="100" t="s">
        <v>2260</v>
      </c>
      <c r="O2" s="100" t="s">
        <v>2237</v>
      </c>
      <c r="P2" s="100" t="s">
        <v>763</v>
      </c>
      <c r="Q2" s="100" t="s">
        <v>764</v>
      </c>
      <c r="R2" s="100" t="s">
        <v>765</v>
      </c>
      <c r="S2" s="100" t="s">
        <v>536</v>
      </c>
      <c r="T2" s="101" t="s">
        <v>1662</v>
      </c>
      <c r="U2" s="101" t="s">
        <v>2233</v>
      </c>
      <c r="V2" s="101" t="s">
        <v>2261</v>
      </c>
      <c r="W2" s="101" t="s">
        <v>2238</v>
      </c>
      <c r="X2" s="101" t="s">
        <v>1663</v>
      </c>
      <c r="Y2" s="101" t="s">
        <v>1664</v>
      </c>
      <c r="Z2" s="101" t="s">
        <v>1665</v>
      </c>
      <c r="AA2" s="101" t="s">
        <v>551</v>
      </c>
    </row>
    <row r="3" spans="1:27" ht="58.15" customHeight="1">
      <c r="A3" s="248"/>
      <c r="B3" s="99" t="str">
        <f t="shared" ref="B3:B23" si="0">IF($F$5="English",L3,IF($F$5="中文 Chinese",M3,IF($F$5="日本語 Japanese",N3,IF($F$5="한국어 Korean",O3,IF($F$5="Français",P3,IF($F$5="Português",Q3,IF($F$5="Deutsch",R3,IF($F$5="Español",S3))))))))</f>
        <v>Adjoining Country</v>
      </c>
      <c r="C3" s="99" t="str">
        <f t="shared" ref="C3:C23" si="1">IF($F$5="English",T3,IF($F$5="中文 Chinese",U3,IF($F$5="日本語 Japanese",V3,IF($F$5="한국어 Korean",W3,IF($F$5="Français",X3,IF($F$5="Português",Y3,IF($F$5="Deutsch",Z3,IF($F$5="Español",AA3))))))))</f>
        <v>A country that shares an internationally recognized border with the Democratic Republic of Congo is considered an “adjoining country”.</v>
      </c>
      <c r="D3" s="246"/>
      <c r="F3" s="251"/>
      <c r="G3" s="251"/>
      <c r="H3" s="251"/>
      <c r="I3" s="251"/>
      <c r="J3" s="251"/>
      <c r="L3" s="102" t="s">
        <v>2197</v>
      </c>
      <c r="M3" s="102" t="s">
        <v>766</v>
      </c>
      <c r="N3" s="102" t="s">
        <v>2294</v>
      </c>
      <c r="O3" s="102" t="s">
        <v>767</v>
      </c>
      <c r="P3" s="102" t="s">
        <v>768</v>
      </c>
      <c r="Q3" s="102" t="s">
        <v>769</v>
      </c>
      <c r="R3" s="102" t="s">
        <v>770</v>
      </c>
      <c r="S3" s="102" t="s">
        <v>537</v>
      </c>
      <c r="T3" s="103" t="s">
        <v>842</v>
      </c>
      <c r="U3" s="103" t="s">
        <v>1666</v>
      </c>
      <c r="V3" s="103" t="s">
        <v>1667</v>
      </c>
      <c r="W3" s="103" t="s">
        <v>1668</v>
      </c>
      <c r="X3" s="103" t="s">
        <v>1669</v>
      </c>
      <c r="Y3" s="103" t="s">
        <v>1670</v>
      </c>
      <c r="Z3" s="103" t="s">
        <v>797</v>
      </c>
      <c r="AA3" s="103" t="s">
        <v>552</v>
      </c>
    </row>
    <row r="4" spans="1:27" ht="88.9" customHeight="1">
      <c r="A4" s="248"/>
      <c r="B4" s="99" t="str">
        <f t="shared" si="0"/>
        <v>CFS Compliant Smelter List</v>
      </c>
      <c r="C4" s="99" t="str">
        <f t="shared" si="1"/>
        <v>Conflict-Free Smelter Program Compliant Smelter List is a list of smelters which have been independently audited and determined to be compliant to a CFS protocol. The list and protocols can be found here: (http://www.conflictfreesmelter.org/)</v>
      </c>
      <c r="D4" s="246"/>
      <c r="F4" s="252"/>
      <c r="G4" s="252"/>
      <c r="H4" s="252"/>
      <c r="I4" s="252"/>
      <c r="J4" s="252"/>
      <c r="L4" s="102" t="s">
        <v>1778</v>
      </c>
      <c r="M4" s="102" t="s">
        <v>771</v>
      </c>
      <c r="N4" s="102" t="s">
        <v>772</v>
      </c>
      <c r="O4" s="102" t="s">
        <v>525</v>
      </c>
      <c r="P4" s="102" t="s">
        <v>773</v>
      </c>
      <c r="Q4" s="102" t="s">
        <v>774</v>
      </c>
      <c r="R4" s="102" t="s">
        <v>775</v>
      </c>
      <c r="S4" s="102" t="s">
        <v>538</v>
      </c>
      <c r="T4" s="103" t="s">
        <v>1779</v>
      </c>
      <c r="U4" s="103" t="s">
        <v>798</v>
      </c>
      <c r="V4" s="103" t="s">
        <v>799</v>
      </c>
      <c r="W4" s="103" t="s">
        <v>528</v>
      </c>
      <c r="X4" s="103" t="s">
        <v>1709</v>
      </c>
      <c r="Y4" s="103" t="s">
        <v>1710</v>
      </c>
      <c r="Z4" s="103" t="s">
        <v>1711</v>
      </c>
      <c r="AA4" s="103" t="s">
        <v>553</v>
      </c>
    </row>
    <row r="5" spans="1:27" ht="87.6" customHeight="1">
      <c r="A5" s="248"/>
      <c r="B5" s="99" t="str">
        <f t="shared" si="0"/>
        <v>CFS Program</v>
      </c>
      <c r="C5" s="99" t="str">
        <f t="shared" si="1"/>
        <v>The Conflict-Free Smelter (CFS) Program is a program developed by EICC and GeSI to enhance company capability to verify the responsible sourcing of metals. Further details of the CFS Program can be found here: (http://www.conflictfreesmelter.org/)</v>
      </c>
      <c r="D5" s="246"/>
      <c r="F5" s="238" t="s">
        <v>2207</v>
      </c>
      <c r="G5" s="239"/>
      <c r="H5" s="239"/>
      <c r="I5" s="239"/>
      <c r="J5" s="240"/>
      <c r="L5" s="102" t="s">
        <v>2295</v>
      </c>
      <c r="M5" s="102" t="s">
        <v>776</v>
      </c>
      <c r="N5" s="102" t="s">
        <v>2296</v>
      </c>
      <c r="O5" s="102" t="s">
        <v>526</v>
      </c>
      <c r="P5" s="102" t="s">
        <v>777</v>
      </c>
      <c r="Q5" s="102" t="s">
        <v>778</v>
      </c>
      <c r="R5" s="102" t="s">
        <v>779</v>
      </c>
      <c r="S5" s="102" t="s">
        <v>539</v>
      </c>
      <c r="T5" s="103" t="s">
        <v>1780</v>
      </c>
      <c r="U5" s="103" t="s">
        <v>1712</v>
      </c>
      <c r="V5" s="103" t="s">
        <v>1713</v>
      </c>
      <c r="W5" s="103" t="s">
        <v>529</v>
      </c>
      <c r="X5" s="103" t="s">
        <v>1714</v>
      </c>
      <c r="Y5" s="103" t="s">
        <v>1715</v>
      </c>
      <c r="Z5" s="103" t="s">
        <v>844</v>
      </c>
      <c r="AA5" s="103" t="s">
        <v>554</v>
      </c>
    </row>
    <row r="6" spans="1:27" ht="206.45" customHeight="1">
      <c r="A6" s="248"/>
      <c r="B6" s="99" t="str">
        <f t="shared" si="0"/>
        <v>Conflict Mineral</v>
      </c>
      <c r="C6" s="99" t="str">
        <f t="shared" si="1"/>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6" s="246"/>
      <c r="L6" s="102" t="s">
        <v>2195</v>
      </c>
      <c r="M6" s="102" t="s">
        <v>780</v>
      </c>
      <c r="N6" s="102" t="s">
        <v>2297</v>
      </c>
      <c r="O6" s="102" t="s">
        <v>527</v>
      </c>
      <c r="P6" s="102" t="s">
        <v>781</v>
      </c>
      <c r="Q6" s="102" t="s">
        <v>782</v>
      </c>
      <c r="R6" s="102" t="s">
        <v>867</v>
      </c>
      <c r="S6" s="102" t="s">
        <v>540</v>
      </c>
      <c r="T6" s="103" t="s">
        <v>34</v>
      </c>
      <c r="U6" s="103" t="s">
        <v>1716</v>
      </c>
      <c r="V6" s="103" t="s">
        <v>1717</v>
      </c>
      <c r="W6" s="103" t="s">
        <v>530</v>
      </c>
      <c r="X6" s="103" t="s">
        <v>1718</v>
      </c>
      <c r="Y6" s="103" t="s">
        <v>1719</v>
      </c>
      <c r="Z6" s="103" t="s">
        <v>1720</v>
      </c>
      <c r="AA6" s="103" t="s">
        <v>555</v>
      </c>
    </row>
    <row r="7" spans="1:27" ht="122.45" customHeight="1">
      <c r="A7" s="248"/>
      <c r="B7" s="99" t="str">
        <f t="shared" si="0"/>
        <v>Declaration Scope</v>
      </c>
      <c r="C7" s="99" t="str">
        <f t="shared" si="1"/>
        <v>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v>
      </c>
      <c r="D7" s="246"/>
      <c r="F7" s="241" t="s">
        <v>330</v>
      </c>
      <c r="G7" s="242"/>
      <c r="H7" s="242"/>
      <c r="I7" s="242"/>
      <c r="J7" s="243"/>
      <c r="L7" s="102" t="s">
        <v>1781</v>
      </c>
      <c r="M7" s="102" t="s">
        <v>783</v>
      </c>
      <c r="N7" s="102" t="s">
        <v>784</v>
      </c>
      <c r="O7" s="102" t="s">
        <v>785</v>
      </c>
      <c r="P7" s="102" t="s">
        <v>786</v>
      </c>
      <c r="Q7" s="102" t="s">
        <v>787</v>
      </c>
      <c r="R7" s="102" t="s">
        <v>788</v>
      </c>
      <c r="S7" s="102" t="s">
        <v>541</v>
      </c>
      <c r="T7" s="103" t="s">
        <v>1782</v>
      </c>
      <c r="U7" s="103" t="s">
        <v>1721</v>
      </c>
      <c r="V7" s="103" t="s">
        <v>1722</v>
      </c>
      <c r="W7" s="103" t="s">
        <v>1723</v>
      </c>
      <c r="X7" s="103" t="s">
        <v>209</v>
      </c>
      <c r="Y7" s="103" t="s">
        <v>1757</v>
      </c>
      <c r="Z7" s="103" t="s">
        <v>1758</v>
      </c>
      <c r="AA7" s="103" t="s">
        <v>556</v>
      </c>
    </row>
    <row r="8" spans="1:27" ht="54.6" customHeight="1">
      <c r="A8" s="248"/>
      <c r="B8" s="99" t="str">
        <f t="shared" si="0"/>
        <v>Division</v>
      </c>
      <c r="C8" s="99" t="str">
        <f t="shared" si="1"/>
        <v>A division is a defined unit of a business which performs a specific service or produces a specific category of products.</v>
      </c>
      <c r="D8" s="246"/>
      <c r="L8" s="102" t="s">
        <v>1783</v>
      </c>
      <c r="M8" s="102" t="s">
        <v>789</v>
      </c>
      <c r="N8" s="102" t="s">
        <v>790</v>
      </c>
      <c r="O8" s="102" t="s">
        <v>791</v>
      </c>
      <c r="P8" s="102" t="s">
        <v>1783</v>
      </c>
      <c r="Q8" s="102" t="s">
        <v>792</v>
      </c>
      <c r="R8" s="102" t="s">
        <v>793</v>
      </c>
      <c r="S8" s="102" t="s">
        <v>1783</v>
      </c>
      <c r="T8" s="103" t="s">
        <v>1784</v>
      </c>
      <c r="U8" s="103" t="s">
        <v>1759</v>
      </c>
      <c r="V8" s="103" t="s">
        <v>1760</v>
      </c>
      <c r="W8" s="103" t="s">
        <v>1761</v>
      </c>
      <c r="X8" s="103" t="s">
        <v>1762</v>
      </c>
      <c r="Y8" s="103" t="s">
        <v>1763</v>
      </c>
      <c r="Z8" s="103" t="s">
        <v>1764</v>
      </c>
      <c r="AA8" s="103" t="s">
        <v>557</v>
      </c>
    </row>
    <row r="9" spans="1:27" ht="58.15" customHeight="1">
      <c r="A9" s="248"/>
      <c r="B9" s="99" t="str">
        <f t="shared" si="0"/>
        <v>Dodd-Frank</v>
      </c>
      <c r="C9" s="99" t="str">
        <f t="shared" si="1"/>
        <v>2010 United States legislation, Dodd-Frank Wall Street Reform and Consumer Protection Act, Section 1502 (“Dodd-Frank”) (http://www.sec.gov/about/laws/wallstreetreform-cpa.pdf)</v>
      </c>
      <c r="D9" s="246"/>
      <c r="L9" s="102" t="s">
        <v>2236</v>
      </c>
      <c r="M9" s="102" t="s">
        <v>794</v>
      </c>
      <c r="N9" s="102" t="s">
        <v>795</v>
      </c>
      <c r="O9" s="102" t="s">
        <v>2236</v>
      </c>
      <c r="P9" s="102" t="s">
        <v>2236</v>
      </c>
      <c r="Q9" s="102" t="s">
        <v>2236</v>
      </c>
      <c r="R9" s="102" t="s">
        <v>2236</v>
      </c>
      <c r="S9" s="102" t="s">
        <v>2236</v>
      </c>
      <c r="T9" s="103" t="s">
        <v>1785</v>
      </c>
      <c r="U9" s="103" t="s">
        <v>1765</v>
      </c>
      <c r="V9" s="103" t="s">
        <v>1766</v>
      </c>
      <c r="W9" s="103" t="s">
        <v>1767</v>
      </c>
      <c r="X9" s="103" t="s">
        <v>868</v>
      </c>
      <c r="Y9" s="103" t="s">
        <v>869</v>
      </c>
      <c r="Z9" s="103" t="s">
        <v>870</v>
      </c>
      <c r="AA9" s="103" t="s">
        <v>558</v>
      </c>
    </row>
    <row r="10" spans="1:27" ht="15">
      <c r="A10" s="248"/>
      <c r="B10" s="99" t="str">
        <f t="shared" si="0"/>
        <v>DRC</v>
      </c>
      <c r="C10" s="99" t="str">
        <f t="shared" si="1"/>
        <v>Democratic Republic of Congo</v>
      </c>
      <c r="D10" s="246"/>
      <c r="L10" s="102" t="s">
        <v>2196</v>
      </c>
      <c r="M10" s="102" t="s">
        <v>2232</v>
      </c>
      <c r="N10" s="102" t="s">
        <v>796</v>
      </c>
      <c r="O10" s="102" t="s">
        <v>1605</v>
      </c>
      <c r="P10" s="102" t="s">
        <v>1606</v>
      </c>
      <c r="Q10" s="102" t="s">
        <v>1606</v>
      </c>
      <c r="R10" s="102" t="s">
        <v>2196</v>
      </c>
      <c r="S10" s="102" t="s">
        <v>2196</v>
      </c>
      <c r="T10" s="103" t="s">
        <v>871</v>
      </c>
      <c r="U10" s="103" t="s">
        <v>2232</v>
      </c>
      <c r="V10" s="103" t="s">
        <v>2262</v>
      </c>
      <c r="W10" s="103" t="s">
        <v>872</v>
      </c>
      <c r="X10" s="103" t="s">
        <v>873</v>
      </c>
      <c r="Y10" s="103" t="s">
        <v>874</v>
      </c>
      <c r="Z10" s="103" t="s">
        <v>875</v>
      </c>
      <c r="AA10" s="103" t="s">
        <v>559</v>
      </c>
    </row>
    <row r="11" spans="1:27" ht="121.9" customHeight="1">
      <c r="A11" s="248"/>
      <c r="B11" s="99" t="str">
        <f t="shared" si="0"/>
        <v>DRC Conflict-Free</v>
      </c>
      <c r="C11" s="99" t="str">
        <f t="shared" si="1"/>
        <v>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1" s="246"/>
      <c r="L11" s="102" t="s">
        <v>2198</v>
      </c>
      <c r="M11" s="102" t="s">
        <v>1607</v>
      </c>
      <c r="N11" s="102" t="s">
        <v>2298</v>
      </c>
      <c r="O11" s="102" t="s">
        <v>2198</v>
      </c>
      <c r="P11" s="102" t="s">
        <v>1608</v>
      </c>
      <c r="Q11" s="102" t="s">
        <v>1609</v>
      </c>
      <c r="R11" s="102" t="s">
        <v>1610</v>
      </c>
      <c r="S11" s="102" t="s">
        <v>542</v>
      </c>
      <c r="T11" s="103" t="s">
        <v>1786</v>
      </c>
      <c r="U11" s="103" t="s">
        <v>876</v>
      </c>
      <c r="V11" s="103" t="s">
        <v>877</v>
      </c>
      <c r="W11" s="103" t="s">
        <v>878</v>
      </c>
      <c r="X11" s="103" t="s">
        <v>879</v>
      </c>
      <c r="Y11" s="103" t="s">
        <v>880</v>
      </c>
      <c r="Z11" s="103" t="s">
        <v>881</v>
      </c>
      <c r="AA11" s="103" t="s">
        <v>560</v>
      </c>
    </row>
    <row r="12" spans="1:27" ht="40.9" customHeight="1">
      <c r="A12" s="248"/>
      <c r="B12" s="99" t="str">
        <f t="shared" si="0"/>
        <v>EICC</v>
      </c>
      <c r="C12" s="99" t="str">
        <f t="shared" si="1"/>
        <v>Electronics Industry Citizenship Coalition (www.eicc.info)</v>
      </c>
      <c r="D12" s="246"/>
      <c r="L12" s="102" t="s">
        <v>2191</v>
      </c>
      <c r="M12" s="102" t="s">
        <v>1611</v>
      </c>
      <c r="N12" s="102" t="s">
        <v>2191</v>
      </c>
      <c r="O12" s="102" t="s">
        <v>2191</v>
      </c>
      <c r="P12" s="102" t="s">
        <v>2191</v>
      </c>
      <c r="Q12" s="102" t="s">
        <v>2191</v>
      </c>
      <c r="R12" s="102" t="s">
        <v>2191</v>
      </c>
      <c r="S12" s="102" t="s">
        <v>2191</v>
      </c>
      <c r="T12" s="103" t="s">
        <v>2200</v>
      </c>
      <c r="U12" s="103" t="s">
        <v>882</v>
      </c>
      <c r="V12" s="103" t="s">
        <v>2263</v>
      </c>
      <c r="W12" s="103" t="s">
        <v>2240</v>
      </c>
      <c r="X12" s="103" t="s">
        <v>2200</v>
      </c>
      <c r="Y12" s="103" t="s">
        <v>883</v>
      </c>
      <c r="Z12" s="103" t="s">
        <v>2200</v>
      </c>
      <c r="AA12" s="103" t="s">
        <v>561</v>
      </c>
    </row>
    <row r="13" spans="1:27" ht="43.9" customHeight="1">
      <c r="A13" s="248"/>
      <c r="B13" s="99" t="str">
        <f t="shared" si="0"/>
        <v xml:space="preserve">GeSI </v>
      </c>
      <c r="C13" s="99" t="str">
        <f t="shared" si="1"/>
        <v>Global e-Sustainability Initiative (www.gesi.org)</v>
      </c>
      <c r="D13" s="246"/>
      <c r="L13" s="102" t="s">
        <v>2192</v>
      </c>
      <c r="M13" s="102" t="s">
        <v>1612</v>
      </c>
      <c r="N13" s="102" t="s">
        <v>2235</v>
      </c>
      <c r="O13" s="102" t="s">
        <v>2235</v>
      </c>
      <c r="P13" s="102" t="s">
        <v>2235</v>
      </c>
      <c r="Q13" s="102" t="s">
        <v>2235</v>
      </c>
      <c r="R13" s="102" t="s">
        <v>2235</v>
      </c>
      <c r="S13" s="102" t="s">
        <v>2192</v>
      </c>
      <c r="T13" s="103" t="s">
        <v>2201</v>
      </c>
      <c r="U13" s="103" t="s">
        <v>884</v>
      </c>
      <c r="V13" s="103" t="s">
        <v>2264</v>
      </c>
      <c r="W13" s="103" t="s">
        <v>2241</v>
      </c>
      <c r="X13" s="103" t="s">
        <v>2201</v>
      </c>
      <c r="Y13" s="103" t="s">
        <v>885</v>
      </c>
      <c r="Z13" s="103" t="s">
        <v>2201</v>
      </c>
      <c r="AA13" s="103" t="s">
        <v>562</v>
      </c>
    </row>
    <row r="14" spans="1:27" ht="70.150000000000006" customHeight="1">
      <c r="A14" s="248"/>
      <c r="B14" s="99" t="str">
        <f t="shared" si="0"/>
        <v>Gold Refiner (smelter)</v>
      </c>
      <c r="C14" s="99" t="str">
        <f t="shared" si="1"/>
        <v>A gold refiner is a metallurgical operation that produces fine gold with a concentration of 99.5% or higher from gold and gold-bearing materials with lower concentrations.</v>
      </c>
      <c r="D14" s="246"/>
      <c r="L14" s="100" t="s">
        <v>2114</v>
      </c>
      <c r="M14" s="100" t="s">
        <v>1613</v>
      </c>
      <c r="N14" s="100" t="s">
        <v>1614</v>
      </c>
      <c r="O14" s="100" t="s">
        <v>1615</v>
      </c>
      <c r="P14" s="100" t="s">
        <v>1616</v>
      </c>
      <c r="Q14" s="100" t="s">
        <v>1617</v>
      </c>
      <c r="R14" s="100" t="s">
        <v>1618</v>
      </c>
      <c r="S14" s="100" t="s">
        <v>543</v>
      </c>
      <c r="T14" s="103" t="s">
        <v>2115</v>
      </c>
      <c r="U14" s="103" t="s">
        <v>886</v>
      </c>
      <c r="V14" s="103" t="s">
        <v>887</v>
      </c>
      <c r="W14" s="103" t="s">
        <v>888</v>
      </c>
      <c r="X14" s="103" t="s">
        <v>889</v>
      </c>
      <c r="Y14" s="103" t="s">
        <v>890</v>
      </c>
      <c r="Z14" s="103" t="s">
        <v>891</v>
      </c>
      <c r="AA14" s="103" t="s">
        <v>563</v>
      </c>
    </row>
    <row r="15" spans="1:27" ht="38.450000000000003" customHeight="1">
      <c r="A15" s="248"/>
      <c r="B15" s="99" t="str">
        <f t="shared" si="0"/>
        <v>OECD</v>
      </c>
      <c r="C15" s="99" t="str">
        <f t="shared" si="1"/>
        <v>Organization for Economic Co-operation and Development</v>
      </c>
      <c r="D15" s="246"/>
      <c r="L15" s="102" t="s">
        <v>2194</v>
      </c>
      <c r="M15" s="102" t="s">
        <v>1619</v>
      </c>
      <c r="N15" s="102" t="s">
        <v>1620</v>
      </c>
      <c r="O15" s="102" t="s">
        <v>2194</v>
      </c>
      <c r="P15" s="102" t="s">
        <v>1621</v>
      </c>
      <c r="Q15" s="102" t="s">
        <v>1621</v>
      </c>
      <c r="R15" s="102" t="s">
        <v>2194</v>
      </c>
      <c r="S15" s="102" t="s">
        <v>2194</v>
      </c>
      <c r="T15" s="103" t="s">
        <v>892</v>
      </c>
      <c r="U15" s="103" t="s">
        <v>2234</v>
      </c>
      <c r="V15" s="103" t="s">
        <v>2265</v>
      </c>
      <c r="W15" s="103" t="s">
        <v>893</v>
      </c>
      <c r="X15" s="103" t="s">
        <v>894</v>
      </c>
      <c r="Y15" s="103" t="s">
        <v>895</v>
      </c>
      <c r="Z15" s="103" t="s">
        <v>896</v>
      </c>
      <c r="AA15" s="103" t="s">
        <v>564</v>
      </c>
    </row>
    <row r="16" spans="1:27" ht="70.150000000000006" customHeight="1">
      <c r="A16" s="248"/>
      <c r="B16" s="99" t="str">
        <f t="shared" si="0"/>
        <v>Product</v>
      </c>
      <c r="C16" s="99" t="str">
        <f t="shared" si="1"/>
        <v>A company’s Product or Finished good is a material or item which has completed the final stage of manufacturing and/or processing and is available for distribution or sale to customers.</v>
      </c>
      <c r="D16" s="246"/>
      <c r="L16" s="102" t="s">
        <v>1787</v>
      </c>
      <c r="M16" s="102" t="s">
        <v>1622</v>
      </c>
      <c r="N16" s="102" t="s">
        <v>1623</v>
      </c>
      <c r="O16" s="102" t="s">
        <v>1624</v>
      </c>
      <c r="P16" s="102" t="s">
        <v>1625</v>
      </c>
      <c r="Q16" s="102" t="s">
        <v>1626</v>
      </c>
      <c r="R16" s="102" t="s">
        <v>1627</v>
      </c>
      <c r="S16" s="102" t="s">
        <v>544</v>
      </c>
      <c r="T16" s="103" t="s">
        <v>1788</v>
      </c>
      <c r="U16" s="103" t="s">
        <v>897</v>
      </c>
      <c r="V16" s="103" t="s">
        <v>898</v>
      </c>
      <c r="W16" s="103" t="s">
        <v>899</v>
      </c>
      <c r="X16" s="103" t="s">
        <v>900</v>
      </c>
      <c r="Y16" s="103" t="s">
        <v>901</v>
      </c>
      <c r="Z16" s="103" t="s">
        <v>902</v>
      </c>
      <c r="AA16" s="103" t="s">
        <v>565</v>
      </c>
    </row>
    <row r="17" spans="1:27" ht="30">
      <c r="A17" s="248"/>
      <c r="B17" s="99" t="str">
        <f t="shared" si="0"/>
        <v>Product Category</v>
      </c>
      <c r="C17" s="99" t="str">
        <f t="shared" si="1"/>
        <v>A group of products which can be described by an industry recognized generic term (ex. capacitors).</v>
      </c>
      <c r="D17" s="246"/>
      <c r="L17" s="102" t="s">
        <v>1789</v>
      </c>
      <c r="M17" s="102" t="s">
        <v>1628</v>
      </c>
      <c r="N17" s="102" t="s">
        <v>1629</v>
      </c>
      <c r="O17" s="102" t="s">
        <v>1630</v>
      </c>
      <c r="P17" s="102" t="s">
        <v>1631</v>
      </c>
      <c r="Q17" s="102" t="s">
        <v>1632</v>
      </c>
      <c r="R17" s="102" t="s">
        <v>1633</v>
      </c>
      <c r="S17" s="102" t="s">
        <v>545</v>
      </c>
      <c r="T17" s="103" t="s">
        <v>2177</v>
      </c>
      <c r="U17" s="103" t="s">
        <v>903</v>
      </c>
      <c r="V17" s="103" t="s">
        <v>904</v>
      </c>
      <c r="W17" s="103" t="s">
        <v>905</v>
      </c>
      <c r="X17" s="103" t="s">
        <v>906</v>
      </c>
      <c r="Y17" s="103" t="s">
        <v>907</v>
      </c>
      <c r="Z17" s="103" t="s">
        <v>908</v>
      </c>
      <c r="AA17" s="103" t="s">
        <v>566</v>
      </c>
    </row>
    <row r="18" spans="1:27" ht="101.45" customHeight="1">
      <c r="A18" s="248"/>
      <c r="B18" s="99" t="str">
        <f t="shared" si="0"/>
        <v>Recycled and Scrap Materials</v>
      </c>
      <c r="C18" s="99" t="str">
        <f t="shared" si="1"/>
        <v>Conflict Minerals are considered "recycled" that are reclaimed end-user or post-consumer products, but not considered "recycled" are minerals that are partially processed, or a byproduct from another ore. For full definition see SEC Rules (http://www.sec.gov/rules/final/2012/34-67716.pdf).</v>
      </c>
      <c r="D18" s="246"/>
      <c r="L18" s="100" t="s">
        <v>2299</v>
      </c>
      <c r="M18" s="100" t="s">
        <v>1634</v>
      </c>
      <c r="N18" s="100" t="s">
        <v>2300</v>
      </c>
      <c r="O18" s="100" t="s">
        <v>1635</v>
      </c>
      <c r="P18" s="100" t="s">
        <v>1636</v>
      </c>
      <c r="Q18" s="100" t="s">
        <v>1637</v>
      </c>
      <c r="R18" s="100" t="s">
        <v>1638</v>
      </c>
      <c r="S18" s="100" t="s">
        <v>546</v>
      </c>
      <c r="T18" s="214" t="s">
        <v>33</v>
      </c>
      <c r="U18" s="214" t="s">
        <v>585</v>
      </c>
      <c r="V18" s="214" t="s">
        <v>586</v>
      </c>
      <c r="W18" s="214" t="s">
        <v>332</v>
      </c>
      <c r="X18" s="214" t="s">
        <v>587</v>
      </c>
      <c r="Y18" s="214" t="s">
        <v>507</v>
      </c>
      <c r="Z18" s="214" t="s">
        <v>508</v>
      </c>
      <c r="AA18" s="214" t="s">
        <v>584</v>
      </c>
    </row>
    <row r="19" spans="1:27" ht="37.9" customHeight="1">
      <c r="A19" s="248"/>
      <c r="B19" s="99" t="str">
        <f t="shared" si="0"/>
        <v>SEC</v>
      </c>
      <c r="C19" s="99" t="str">
        <f t="shared" si="1"/>
        <v>Security Exchange Commision (www.sec.gov)</v>
      </c>
      <c r="D19" s="246"/>
      <c r="L19" s="102" t="s">
        <v>2193</v>
      </c>
      <c r="M19" s="102" t="s">
        <v>1639</v>
      </c>
      <c r="N19" s="102" t="s">
        <v>1640</v>
      </c>
      <c r="O19" s="102" t="s">
        <v>1641</v>
      </c>
      <c r="P19" s="102" t="s">
        <v>2193</v>
      </c>
      <c r="Q19" s="102" t="s">
        <v>2193</v>
      </c>
      <c r="R19" s="102" t="s">
        <v>2193</v>
      </c>
      <c r="S19" s="102" t="s">
        <v>2193</v>
      </c>
      <c r="T19" s="103" t="s">
        <v>2202</v>
      </c>
      <c r="U19" s="103" t="s">
        <v>329</v>
      </c>
      <c r="V19" s="103" t="s">
        <v>2266</v>
      </c>
      <c r="W19" s="103" t="s">
        <v>909</v>
      </c>
      <c r="X19" s="103" t="s">
        <v>2202</v>
      </c>
      <c r="Y19" s="103" t="s">
        <v>2202</v>
      </c>
      <c r="Z19" s="103" t="s">
        <v>2202</v>
      </c>
      <c r="AA19" s="103" t="s">
        <v>2202</v>
      </c>
    </row>
    <row r="20" spans="1:27" ht="91.15" customHeight="1">
      <c r="A20" s="248"/>
      <c r="B20" s="99" t="str">
        <f t="shared" si="0"/>
        <v>Smelter</v>
      </c>
      <c r="C20" s="99" t="str">
        <f t="shared" si="1"/>
        <v>A smelter is a company that procures and processes mineral ore, slag and / or recycled materials and scrap into refined metal or metal containing intermediate products.  The output can be pure (99.5% or greater) metals, powders, ingots, bars, grains, oxides or salts.</v>
      </c>
      <c r="D20" s="246"/>
      <c r="E20" s="104"/>
      <c r="L20" s="100" t="s">
        <v>2301</v>
      </c>
      <c r="M20" s="100" t="s">
        <v>1642</v>
      </c>
      <c r="N20" s="100" t="s">
        <v>2302</v>
      </c>
      <c r="O20" s="100" t="s">
        <v>1643</v>
      </c>
      <c r="P20" s="100" t="s">
        <v>1644</v>
      </c>
      <c r="Q20" s="100" t="s">
        <v>1645</v>
      </c>
      <c r="R20" s="100" t="s">
        <v>1646</v>
      </c>
      <c r="S20" s="100" t="s">
        <v>547</v>
      </c>
      <c r="T20" s="103" t="s">
        <v>2178</v>
      </c>
      <c r="U20" s="103" t="s">
        <v>910</v>
      </c>
      <c r="V20" s="103" t="s">
        <v>911</v>
      </c>
      <c r="W20" s="103" t="s">
        <v>2239</v>
      </c>
      <c r="X20" s="103" t="s">
        <v>912</v>
      </c>
      <c r="Y20" s="103" t="s">
        <v>913</v>
      </c>
      <c r="Z20" s="103" t="s">
        <v>801</v>
      </c>
      <c r="AA20" s="103" t="s">
        <v>567</v>
      </c>
    </row>
    <row r="21" spans="1:27" ht="132" customHeight="1">
      <c r="A21" s="248"/>
      <c r="B21" s="99" t="str">
        <f t="shared" si="0"/>
        <v>Tantalum Smelter</v>
      </c>
      <c r="C21" s="99" t="str">
        <f t="shared" si="1"/>
        <v>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v>
      </c>
      <c r="D21" s="246"/>
      <c r="L21" s="100" t="s">
        <v>2303</v>
      </c>
      <c r="M21" s="100" t="s">
        <v>1647</v>
      </c>
      <c r="N21" s="100" t="s">
        <v>1819</v>
      </c>
      <c r="O21" s="100" t="s">
        <v>1648</v>
      </c>
      <c r="P21" s="100" t="s">
        <v>1649</v>
      </c>
      <c r="Q21" s="100" t="s">
        <v>1650</v>
      </c>
      <c r="R21" s="100" t="s">
        <v>1651</v>
      </c>
      <c r="S21" s="100" t="s">
        <v>548</v>
      </c>
      <c r="T21" s="134" t="s">
        <v>2179</v>
      </c>
      <c r="U21" s="134" t="s">
        <v>914</v>
      </c>
      <c r="V21" s="134" t="s">
        <v>915</v>
      </c>
      <c r="W21" s="134" t="s">
        <v>2185</v>
      </c>
      <c r="X21" s="134" t="s">
        <v>916</v>
      </c>
      <c r="Y21" s="134" t="s">
        <v>1790</v>
      </c>
      <c r="Z21" s="134" t="s">
        <v>1791</v>
      </c>
      <c r="AA21" s="134" t="s">
        <v>568</v>
      </c>
    </row>
    <row r="22" spans="1:27" ht="157.15" customHeight="1">
      <c r="A22" s="248"/>
      <c r="B22" s="99" t="str">
        <f t="shared" si="0"/>
        <v>Tin Smelter</v>
      </c>
      <c r="C22" s="99" t="str">
        <f t="shared" si="1"/>
        <v>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v>
      </c>
      <c r="D22" s="246"/>
      <c r="L22" s="100" t="s">
        <v>1820</v>
      </c>
      <c r="M22" s="100" t="s">
        <v>1652</v>
      </c>
      <c r="N22" s="100" t="s">
        <v>1821</v>
      </c>
      <c r="O22" s="100" t="s">
        <v>1653</v>
      </c>
      <c r="P22" s="100" t="s">
        <v>1654</v>
      </c>
      <c r="Q22" s="100" t="s">
        <v>1655</v>
      </c>
      <c r="R22" s="100" t="s">
        <v>1656</v>
      </c>
      <c r="S22" s="100" t="s">
        <v>549</v>
      </c>
      <c r="T22" s="103" t="s">
        <v>2180</v>
      </c>
      <c r="U22" s="103" t="s">
        <v>1792</v>
      </c>
      <c r="V22" s="103" t="s">
        <v>1793</v>
      </c>
      <c r="W22" s="103" t="s">
        <v>1794</v>
      </c>
      <c r="X22" s="103" t="s">
        <v>1795</v>
      </c>
      <c r="Y22" s="103" t="s">
        <v>1796</v>
      </c>
      <c r="Z22" s="103" t="s">
        <v>1797</v>
      </c>
      <c r="AA22" s="103" t="s">
        <v>569</v>
      </c>
    </row>
    <row r="23" spans="1:27" ht="125.45" customHeight="1">
      <c r="A23" s="248"/>
      <c r="B23" s="99" t="str">
        <f t="shared" si="0"/>
        <v>Tungsten Smelter</v>
      </c>
      <c r="C23" s="99" t="str">
        <f t="shared" si="1"/>
        <v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v>
      </c>
      <c r="D23" s="246"/>
      <c r="L23" s="100" t="s">
        <v>2181</v>
      </c>
      <c r="M23" s="100" t="s">
        <v>1657</v>
      </c>
      <c r="N23" s="100" t="s">
        <v>1822</v>
      </c>
      <c r="O23" s="100" t="s">
        <v>1658</v>
      </c>
      <c r="P23" s="100" t="s">
        <v>1659</v>
      </c>
      <c r="Q23" s="100" t="s">
        <v>1660</v>
      </c>
      <c r="R23" s="100" t="s">
        <v>1661</v>
      </c>
      <c r="S23" s="100" t="s">
        <v>550</v>
      </c>
      <c r="T23" s="103" t="s">
        <v>2182</v>
      </c>
      <c r="U23" s="103" t="s">
        <v>1798</v>
      </c>
      <c r="V23" s="103" t="s">
        <v>248</v>
      </c>
      <c r="W23" s="103" t="s">
        <v>1799</v>
      </c>
      <c r="X23" s="103" t="s">
        <v>1800</v>
      </c>
      <c r="Y23" s="103" t="s">
        <v>1801</v>
      </c>
      <c r="Z23" s="103" t="s">
        <v>1802</v>
      </c>
      <c r="AA23" s="103" t="s">
        <v>843</v>
      </c>
    </row>
    <row r="24" spans="1:27" ht="13.5" thickBot="1">
      <c r="A24" s="249"/>
      <c r="B24" s="230" t="str">
        <f>IF($F$5="English",T24,IF($F$5="中文 Chinese",U24,IF($F$5="日本語 Japanese",V24,IF($F$5="한국어 Korean",W24,IF($F$5="Français",X24,IF($F$5="Português",Y24,IF($F$5="Deutsch",Z24,IF($F$5="Español",AA24))))))))</f>
        <v>© 2011 Electronic Industry Citizenship Coalition, Incorporated and Global e-Sustainability Initiative. All rights reserved.</v>
      </c>
      <c r="C24" s="230"/>
      <c r="D24" s="247"/>
      <c r="T24" s="166" t="s">
        <v>2183</v>
      </c>
      <c r="U24" s="166" t="s">
        <v>759</v>
      </c>
      <c r="V24" s="166" t="s">
        <v>2183</v>
      </c>
      <c r="W24" s="166" t="s">
        <v>2183</v>
      </c>
      <c r="X24" s="166" t="s">
        <v>760</v>
      </c>
      <c r="Y24" s="166" t="s">
        <v>761</v>
      </c>
      <c r="Z24" s="166" t="s">
        <v>2183</v>
      </c>
      <c r="AA24" s="166" t="s">
        <v>534</v>
      </c>
    </row>
    <row r="25" spans="1:27" ht="13.5" thickTop="1"/>
  </sheetData>
  <sheetProtection password="C453" sheet="1" objects="1" scenarios="1"/>
  <customSheetViews>
    <customSheetView guid="{81CF54B1-70AB-4A68-BB72-21925B5D4874}" hiddenColumns="1">
      <selection activeCell="F3" sqref="F3:J3"/>
      <pageMargins left="0.7" right="0.7" top="0.75" bottom="0.75" header="0.3" footer="0.3"/>
    </customSheetView>
  </customSheetViews>
  <mergeCells count="7">
    <mergeCell ref="B24:C24"/>
    <mergeCell ref="D2:D24"/>
    <mergeCell ref="A2:A24"/>
    <mergeCell ref="F5:J5"/>
    <mergeCell ref="F7:J7"/>
    <mergeCell ref="F1:J4"/>
    <mergeCell ref="A1:D1"/>
  </mergeCells>
  <phoneticPr fontId="0" type="noConversion"/>
  <dataValidations count="1">
    <dataValidation type="list" allowBlank="1" showInputMessage="1" showErrorMessage="1" sqref="F5:J5">
      <formula1>"English, 中文 Chinese,日本語 Japanese,한국어 Korean, Français,Português,Deutsch,Español"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2" tint="-0.499984740745262"/>
    <pageSetUpPr fitToPage="1"/>
  </sheetPr>
  <dimension ref="A1:T129"/>
  <sheetViews>
    <sheetView showZeros="0" tabSelected="1" topLeftCell="A55" zoomScale="90" zoomScaleNormal="90" zoomScalePageLayoutView="80" workbookViewId="0">
      <selection activeCell="G76" sqref="G76"/>
    </sheetView>
  </sheetViews>
  <sheetFormatPr defaultColWidth="8.75" defaultRowHeight="12.75"/>
  <cols>
    <col min="1" max="1" width="1.625" style="27" customWidth="1"/>
    <col min="2" max="2" width="83.25" style="27" customWidth="1"/>
    <col min="3" max="3" width="1.625" style="27" customWidth="1"/>
    <col min="4" max="5" width="16.625" style="27" customWidth="1"/>
    <col min="6" max="6" width="1.625" style="27" customWidth="1"/>
    <col min="7" max="9" width="16.625" style="27" customWidth="1"/>
    <col min="10" max="10" width="17.75" style="27" customWidth="1"/>
    <col min="11" max="11" width="1.625" style="27" customWidth="1"/>
    <col min="12" max="12" width="3.625" style="27" customWidth="1"/>
    <col min="13" max="13" width="27.375" style="27" customWidth="1"/>
    <col min="14" max="14" width="8.75" style="27" hidden="1" customWidth="1"/>
    <col min="15" max="15" width="8.75" style="76" hidden="1" customWidth="1"/>
    <col min="16" max="16" width="8.75" style="27" customWidth="1"/>
    <col min="17" max="17" width="3" style="27" customWidth="1"/>
    <col min="18" max="22" width="8.75" style="27" customWidth="1"/>
    <col min="23" max="16384" width="8.75" style="27"/>
  </cols>
  <sheetData>
    <row r="1" spans="1:20" ht="13.5" thickTop="1">
      <c r="A1" s="280"/>
      <c r="B1" s="281"/>
      <c r="C1" s="281"/>
      <c r="D1" s="281"/>
      <c r="E1" s="281"/>
      <c r="F1" s="281"/>
      <c r="G1" s="281"/>
      <c r="H1" s="281"/>
      <c r="I1" s="281"/>
      <c r="J1" s="281"/>
      <c r="K1" s="282"/>
    </row>
    <row r="2" spans="1:20" ht="116.25" customHeight="1">
      <c r="A2" s="28"/>
      <c r="B2" s="29"/>
      <c r="C2" s="30"/>
      <c r="D2" s="283" t="str">
        <f>IF($D$3="English",B82,IF($D$3="中文 Chinese",C82,IF($D$3="日本語 Japanese",D82,IF($D$3="한국어 Korean",E82,IF($D$3="Français",F82,IF($D$3="Português",G82,IF($D$3="Deutsch",H82,IF($D$3="Español",I82))))))))</f>
        <v>Conflict Minerals Reporting Template</v>
      </c>
      <c r="E2" s="283"/>
      <c r="F2" s="283"/>
      <c r="G2" s="283"/>
      <c r="H2" s="283"/>
      <c r="I2" s="283"/>
      <c r="J2" s="283"/>
      <c r="K2" s="105"/>
      <c r="L2" s="31"/>
      <c r="M2" s="109"/>
      <c r="N2" s="111" t="s">
        <v>2100</v>
      </c>
      <c r="O2" s="111" t="s">
        <v>2100</v>
      </c>
    </row>
    <row r="3" spans="1:20" ht="105" customHeight="1">
      <c r="A3" s="28"/>
      <c r="B3" s="203" t="s">
        <v>535</v>
      </c>
      <c r="C3" s="61"/>
      <c r="D3" s="204" t="s">
        <v>2207</v>
      </c>
      <c r="F3" s="290" t="str">
        <f>IF(D8="","","Click here to check required fields completion")</f>
        <v>Click here to check required fields completion</v>
      </c>
      <c r="G3" s="290"/>
      <c r="H3" s="290"/>
      <c r="I3" s="132" t="e">
        <f>IF(Checker!D2=0,"",IF(Checker!D2=Checker!F56,"",IF(Checker!D2&gt;0,"1 or more required fields need to be populated")))</f>
        <v>#VALUE!</v>
      </c>
      <c r="J3" s="167" t="s">
        <v>330</v>
      </c>
      <c r="K3" s="105"/>
      <c r="T3" s="109"/>
    </row>
    <row r="4" spans="1:20" ht="36.75" customHeight="1">
      <c r="A4" s="28"/>
      <c r="B4" s="275" t="str">
        <f>IF($D$3="English",B84,IF($D$3="中文 Chinese",C84,IF($D$3="日本語 Japanese",D84,IF($D$3="한국어 Korean",E84,IF($D$3="Français",F84,IF($D$3="Português",G84,IF($D$3="Deutsch",H84,IF($D$3="Español",I84))))))))</f>
        <v>The purpose of this document is to collect sourcing information on tin, tantalum, tungsten and gold used in products</v>
      </c>
      <c r="C4" s="275"/>
      <c r="D4" s="275"/>
      <c r="E4" s="275"/>
      <c r="F4" s="275"/>
      <c r="G4" s="275"/>
      <c r="H4" s="275"/>
      <c r="I4" s="276" t="s">
        <v>1770</v>
      </c>
      <c r="J4" s="276"/>
      <c r="K4" s="105"/>
      <c r="L4" s="263"/>
    </row>
    <row r="5" spans="1:20" s="59" customFormat="1" ht="3" customHeight="1">
      <c r="A5" s="28"/>
      <c r="B5" s="62"/>
      <c r="C5" s="62"/>
      <c r="D5" s="62"/>
      <c r="E5" s="62"/>
      <c r="F5" s="62"/>
      <c r="G5" s="62"/>
      <c r="H5" s="62"/>
      <c r="I5" s="62"/>
      <c r="J5" s="62"/>
      <c r="K5" s="105"/>
      <c r="L5" s="263"/>
    </row>
    <row r="6" spans="1:20" ht="32.25" customHeight="1">
      <c r="A6" s="28"/>
      <c r="B6" s="270" t="str">
        <f>IF($D$3="English",B86,IF($D$3="中文 Chinese",C86,IF($D$3="日本語 Japanese",D86,IF($D$3="한국어 Korean",E86,IF($D$3="Français",F86,IF($D$3="Português",G86,IF($D$3="Deutsch",H86,IF($D$3="Español",I86))))))))</f>
        <v>Mandatory fields are noted with an asterisk (*). The information collected in this template should be updated annually. Any changes within the annual cycle should be provided to your customers</v>
      </c>
      <c r="C6" s="270"/>
      <c r="D6" s="270"/>
      <c r="E6" s="270"/>
      <c r="F6" s="270"/>
      <c r="G6" s="270"/>
      <c r="H6" s="270"/>
      <c r="I6" s="270"/>
      <c r="J6" s="270"/>
      <c r="K6" s="105"/>
      <c r="L6" s="263"/>
    </row>
    <row r="7" spans="1:20" ht="20.25" customHeight="1">
      <c r="A7" s="28"/>
      <c r="B7" s="291" t="str">
        <f>IF($D$3="English",B87,IF($D$3="中文 Chinese",C87,IF($D$3="日本語 Japanese",D87,IF($D$3="한국어 Korean",E87,IF($D$3="Français",F87,IF($D$3="Português",G87,IF($D$3="Deutsch",H87,IF($D$3="Español",I87))))))))</f>
        <v>Company Information</v>
      </c>
      <c r="C7" s="291"/>
      <c r="D7" s="291"/>
      <c r="E7" s="291"/>
      <c r="F7" s="291"/>
      <c r="G7" s="291"/>
      <c r="H7" s="291"/>
      <c r="I7" s="291"/>
      <c r="J7" s="291"/>
      <c r="K7" s="105"/>
      <c r="L7" s="144"/>
    </row>
    <row r="8" spans="1:20" ht="15.75">
      <c r="A8" s="160"/>
      <c r="B8" s="145" t="str">
        <f>IF($D$3="English",B88,IF($D$3="中文 Chinese",C88,IF($D$3="日本語 Japanese",D88,IF($D$3="한국어 Korean",E88,IF($D$3="Français",F88,IF($D$3="Português",G88,IF($D$3="Deutsch",H88,IF($D$3="Español",I88))))))))</f>
        <v>Company Name (*):</v>
      </c>
      <c r="C8" s="60"/>
      <c r="D8" s="284" t="s">
        <v>2340</v>
      </c>
      <c r="E8" s="285"/>
      <c r="F8" s="285"/>
      <c r="G8" s="285"/>
      <c r="H8" s="285"/>
      <c r="I8" s="285"/>
      <c r="J8" s="286"/>
      <c r="K8" s="161"/>
      <c r="L8" s="263"/>
    </row>
    <row r="9" spans="1:20" ht="15.75">
      <c r="A9" s="160"/>
      <c r="B9" s="145" t="str">
        <f>IF($D$3="English",B89,IF($D$3="中文 Chinese",C89,IF($D$3="日本語 Japanese",D89,IF($D$3="한국어 Korean",E89,IF($D$3="Français",F89,IF($D$3="Português",G89,IF($D$3="Deutsch",H89,IF($D$3="Español",I89))))))))</f>
        <v>Declaration Scope (*):</v>
      </c>
      <c r="C9" s="60"/>
      <c r="D9" s="295" t="s">
        <v>2112</v>
      </c>
      <c r="E9" s="296"/>
      <c r="F9" s="296"/>
      <c r="G9" s="297"/>
      <c r="H9" s="143"/>
      <c r="I9" s="143"/>
      <c r="J9" s="143"/>
      <c r="K9" s="105"/>
      <c r="L9" s="263"/>
      <c r="N9" s="27">
        <f>IF(D9=B127,1,0)</f>
        <v>0</v>
      </c>
    </row>
    <row r="10" spans="1:20" ht="15.75">
      <c r="A10" s="160"/>
      <c r="B10" s="273" t="str">
        <f>IF($D$3="English",B90,IF($D$3="中文 Chinese",C90,IF($D$3="日本語 Japanese",D90,IF($D$3="한국어 Korean",E90,IF($D$3="Français",F90,IF($D$3="Português",G90,IF($D$3="Deutsch",H90,IF($D$3="Español",I90))))))))</f>
        <v>Description of Scope:</v>
      </c>
      <c r="C10" s="110"/>
      <c r="D10" s="292"/>
      <c r="E10" s="293"/>
      <c r="F10" s="293"/>
      <c r="G10" s="293"/>
      <c r="H10" s="293"/>
      <c r="I10" s="293"/>
      <c r="J10" s="294"/>
      <c r="K10" s="105"/>
      <c r="L10" s="263"/>
      <c r="N10" s="27">
        <f>IF(D9=B128,1,0)</f>
        <v>0</v>
      </c>
    </row>
    <row r="11" spans="1:20" ht="19.5">
      <c r="A11" s="160"/>
      <c r="B11" s="274"/>
      <c r="C11" s="110"/>
      <c r="D11" s="287" t="str">
        <f>IF(N11&gt;0,"Click here to enter the products this declaration applies to","")</f>
        <v/>
      </c>
      <c r="E11" s="288"/>
      <c r="F11" s="288"/>
      <c r="G11" s="288"/>
      <c r="H11" s="288"/>
      <c r="I11" s="288"/>
      <c r="J11" s="289"/>
      <c r="K11" s="105"/>
      <c r="L11" s="263"/>
      <c r="N11" s="27">
        <f>IF(D9=B129,2,0)</f>
        <v>0</v>
      </c>
    </row>
    <row r="12" spans="1:20" ht="15.75">
      <c r="A12" s="160"/>
      <c r="B12" s="63" t="str">
        <f t="shared" ref="B12:B18" si="0">IF($D$3="English",B91,IF($D$3="中文 Chinese",C91,IF($D$3="日本語 Japanese",D91,IF($D$3="한국어 Korean",E91,IF($D$3="Français",F91,IF($D$3="Português",G91,IF($D$3="Deutsch",H91,IF($D$3="Español",I91))))))))</f>
        <v>Company Unique Identifier:</v>
      </c>
      <c r="C12" s="30"/>
      <c r="D12" s="259" t="s">
        <v>2341</v>
      </c>
      <c r="E12" s="260"/>
      <c r="F12" s="260"/>
      <c r="G12" s="260"/>
      <c r="H12" s="260"/>
      <c r="I12" s="260"/>
      <c r="J12" s="261"/>
      <c r="K12" s="105"/>
      <c r="L12" s="263"/>
      <c r="N12" s="27">
        <f>SUM(N9:N11)</f>
        <v>0</v>
      </c>
    </row>
    <row r="13" spans="1:20" ht="15.75">
      <c r="A13" s="160"/>
      <c r="B13" s="63" t="str">
        <f t="shared" si="0"/>
        <v>Address:</v>
      </c>
      <c r="C13" s="30"/>
      <c r="D13" s="259" t="s">
        <v>2342</v>
      </c>
      <c r="E13" s="260"/>
      <c r="F13" s="260"/>
      <c r="G13" s="260"/>
      <c r="H13" s="260"/>
      <c r="I13" s="260"/>
      <c r="J13" s="261"/>
      <c r="K13" s="105"/>
      <c r="L13" s="263"/>
    </row>
    <row r="14" spans="1:20" ht="15.75">
      <c r="A14" s="160"/>
      <c r="B14" s="63" t="str">
        <f t="shared" si="0"/>
        <v>Authorized Company Representative Name (*):</v>
      </c>
      <c r="C14" s="30"/>
      <c r="D14" s="259" t="s">
        <v>2343</v>
      </c>
      <c r="E14" s="260"/>
      <c r="F14" s="260"/>
      <c r="G14" s="260"/>
      <c r="H14" s="260"/>
      <c r="I14" s="260"/>
      <c r="J14" s="261"/>
      <c r="K14" s="105"/>
      <c r="L14" s="263"/>
    </row>
    <row r="15" spans="1:20" ht="15.75">
      <c r="A15" s="160"/>
      <c r="B15" s="63" t="str">
        <f t="shared" si="0"/>
        <v>Representative Title:</v>
      </c>
      <c r="C15" s="30"/>
      <c r="D15" s="259" t="s">
        <v>2344</v>
      </c>
      <c r="E15" s="260"/>
      <c r="F15" s="260"/>
      <c r="G15" s="260"/>
      <c r="H15" s="260"/>
      <c r="I15" s="260"/>
      <c r="J15" s="261"/>
      <c r="K15" s="105"/>
      <c r="L15" s="263"/>
    </row>
    <row r="16" spans="1:20" ht="24.75" customHeight="1">
      <c r="A16" s="160"/>
      <c r="B16" s="63" t="str">
        <f t="shared" si="0"/>
        <v>Representative Email (*):</v>
      </c>
      <c r="C16" s="30"/>
      <c r="D16" s="267" t="s">
        <v>2345</v>
      </c>
      <c r="E16" s="268"/>
      <c r="F16" s="268"/>
      <c r="G16" s="268"/>
      <c r="H16" s="268"/>
      <c r="I16" s="268"/>
      <c r="J16" s="269"/>
      <c r="K16" s="105"/>
      <c r="L16" s="263"/>
      <c r="M16" s="109"/>
    </row>
    <row r="17" spans="1:16" ht="15.75">
      <c r="A17" s="160"/>
      <c r="B17" s="63" t="str">
        <f t="shared" si="0"/>
        <v>Representative Phone:</v>
      </c>
      <c r="C17" s="30"/>
      <c r="D17" s="259" t="s">
        <v>2346</v>
      </c>
      <c r="E17" s="260"/>
      <c r="F17" s="260"/>
      <c r="G17" s="260"/>
      <c r="H17" s="260"/>
      <c r="I17" s="260"/>
      <c r="J17" s="261"/>
      <c r="K17" s="105"/>
      <c r="L17" s="263"/>
    </row>
    <row r="18" spans="1:16" ht="21" customHeight="1">
      <c r="A18" s="160"/>
      <c r="B18" s="63" t="str">
        <f t="shared" si="0"/>
        <v>Date of Completion (*):</v>
      </c>
      <c r="C18" s="152"/>
      <c r="D18" s="277">
        <v>40328</v>
      </c>
      <c r="E18" s="278"/>
      <c r="F18" s="162"/>
      <c r="G18" s="148"/>
      <c r="H18" s="148"/>
      <c r="I18" s="148"/>
      <c r="J18" s="148"/>
      <c r="K18" s="105"/>
    </row>
    <row r="19" spans="1:16" ht="17.25" customHeight="1">
      <c r="A19" s="33"/>
      <c r="B19" s="135"/>
      <c r="C19" s="34"/>
      <c r="D19" s="279"/>
      <c r="E19" s="279"/>
      <c r="F19" s="35"/>
      <c r="G19" s="149"/>
      <c r="H19" s="149"/>
      <c r="I19" s="149"/>
      <c r="J19" s="149"/>
      <c r="K19" s="105"/>
      <c r="L19" s="38"/>
      <c r="P19" s="109"/>
    </row>
    <row r="20" spans="1:16" ht="17.25" customHeight="1">
      <c r="A20" s="151"/>
      <c r="B20" s="271" t="str">
        <f>IF($D$3="English",B98,IF($D$3="中文 Chinese",C98,IF($D$3="日本語 Japanese",D98,IF($D$3="한국어 Korean",E98,IF($D$3="Français",F98,IF($D$3="Português",G98,IF($D$3="Deutsch",H98,IF($D$3="Español",I98))))))))</f>
        <v>Answer the following questions 1 - 6 based on the declaration scope indicated above</v>
      </c>
      <c r="C20" s="271"/>
      <c r="D20" s="271"/>
      <c r="E20" s="271"/>
      <c r="F20" s="271"/>
      <c r="G20" s="271"/>
      <c r="H20" s="271"/>
      <c r="I20" s="271"/>
      <c r="J20" s="271"/>
      <c r="K20" s="153"/>
      <c r="L20" s="38"/>
      <c r="P20" s="109"/>
    </row>
    <row r="21" spans="1:16" ht="57.6" customHeight="1">
      <c r="A21" s="33"/>
      <c r="B21" s="64" t="str">
        <f>IF($D$3="English",B99,IF($D$3="中文 Chinese",C99,IF($D$3="日本語 Japanese",D99,IF($D$3="한국어 Korean",E99,IF($D$3="Français",F99,IF($D$3="Português",G99,IF($D$3="Deutsch",H99,IF($D$3="Español",I99))))))))</f>
        <v>1) Are any of the following metals necessary to the functionality or production of your company's products that it manufactures or contracts to manufacture? If no for all metals, you are done with this survey. (*)</v>
      </c>
      <c r="C21" s="65"/>
      <c r="D21" s="146" t="str">
        <f>IF($D$3="English",$J$83,IF($D$3="中文 Chinese",$K$83,IF($D$3="日本語 Japanese",$L$83,IF($D$3="한국어 Korean",$M$83,IF($D$3="Français",$N$83,IF($D$3="Português",$O$83,IF($D$3="Deutsch",$P$83,IF($D$3="Español",$Q$83))))))))</f>
        <v>Answer</v>
      </c>
      <c r="E21" s="66"/>
      <c r="F21" s="67"/>
      <c r="G21" s="64" t="str">
        <f>IF($D$3="English",$J$85,IF($D$3="中文 Chinese",$K$85,IF($D$3="日本語 Japanese",$L$85,IF($D$3="한국어 Korean",$M$85,IF($D$3="Français",$N$85,IF($D$3="Português",$O$85,IF($D$3="Deutsch",$P$85,IF($D$3="Español",$Q$85))))))))</f>
        <v>Comments</v>
      </c>
      <c r="H21" s="64"/>
      <c r="I21" s="64"/>
      <c r="J21" s="36"/>
      <c r="K21" s="105"/>
      <c r="L21" s="38"/>
      <c r="P21" s="109"/>
    </row>
    <row r="22" spans="1:16" ht="15.75">
      <c r="A22" s="33"/>
      <c r="B22" s="63" t="str">
        <f>IF($D$3="English",$J$86,IF($D$3="中文 Chinese",$K$86,IF($D$3="日本語 Japanese",$L$86,IF($D$3="한국어 Korean",$M$86,IF($D$3="Français",$N$86,IF($D$3="Português",$O$86,IF($D$3="Deutsch",$P$86,IF($D$3="Español",$Q$86))))))))</f>
        <v>Tantalum (Ta) (*)</v>
      </c>
      <c r="C22" s="30"/>
      <c r="D22" s="259" t="s">
        <v>2347</v>
      </c>
      <c r="E22" s="261"/>
      <c r="F22" s="37"/>
      <c r="G22" s="259"/>
      <c r="H22" s="260"/>
      <c r="I22" s="260"/>
      <c r="J22" s="261"/>
      <c r="K22" s="105"/>
      <c r="L22" s="39"/>
      <c r="M22" s="109"/>
    </row>
    <row r="23" spans="1:16" ht="17.25" customHeight="1">
      <c r="A23" s="33"/>
      <c r="B23" s="63" t="str">
        <f>IF($D$3="English",$J$87,IF($D$3="中文 Chinese",$K$87,IF($D$3="日本語 Japanese",$L$87,IF($D$3="한국어 Korean",$M$87,IF($D$3="Français",$N$87,IF($D$3="Português",$O$87,IF($D$3="Deutsch",$P$87,IF($D$3="Español",$Q$87))))))))</f>
        <v>Tin (Sn) (*)</v>
      </c>
      <c r="C23" s="30"/>
      <c r="D23" s="259" t="s">
        <v>2347</v>
      </c>
      <c r="E23" s="261"/>
      <c r="F23" s="37"/>
      <c r="G23" s="259"/>
      <c r="H23" s="260"/>
      <c r="I23" s="260"/>
      <c r="J23" s="261"/>
      <c r="K23" s="105"/>
      <c r="L23" s="39"/>
      <c r="N23" s="27">
        <f>IF(D22="Yes",1,0)</f>
        <v>1</v>
      </c>
      <c r="O23" s="27">
        <f>IF(D22="No",1,0)</f>
        <v>0</v>
      </c>
    </row>
    <row r="24" spans="1:16" ht="16.5" customHeight="1">
      <c r="A24" s="33"/>
      <c r="B24" s="63" t="str">
        <f>IF($D$3="English",$J$88,IF($D$3="中文 Chinese",$K$88,IF($D$3="日本語 Japanese",$L$88,IF($D$3="한국어 Korean",$M$88,IF($D$3="Français",$N$88,IF($D$3="Português",$O$88,IF($D$3="Deutsch",$P$88,IF($D$3="Español",$Q$88))))))))</f>
        <v>Gold (Au) (*)</v>
      </c>
      <c r="C24" s="30"/>
      <c r="D24" s="259" t="s">
        <v>2347</v>
      </c>
      <c r="E24" s="261"/>
      <c r="F24" s="37"/>
      <c r="G24" s="259"/>
      <c r="H24" s="260"/>
      <c r="I24" s="260"/>
      <c r="J24" s="261"/>
      <c r="K24" s="105"/>
      <c r="L24" s="39"/>
      <c r="N24" s="27">
        <f>IF(D23="Yes",1,0)</f>
        <v>1</v>
      </c>
      <c r="O24" s="27">
        <f>IF(D23="No",1,0)</f>
        <v>0</v>
      </c>
    </row>
    <row r="25" spans="1:16" ht="18.75" customHeight="1">
      <c r="A25" s="33"/>
      <c r="B25" s="63" t="str">
        <f>IF($D$3="English",$J$89,IF($D$3="中文 Chinese",$K$89,IF($D$3="日本語 Japanese",$L$89,IF($D$3="한국어 Korean",$M$89,IF($D$3="Français",$N$89,IF($D$3="Português",$O$89,IF($D$3="Deutsch",$P$89,IF($D$3="Español",$Q$89))))))))</f>
        <v>Tungsten (W) (*)</v>
      </c>
      <c r="C25" s="30"/>
      <c r="D25" s="259" t="s">
        <v>2347</v>
      </c>
      <c r="E25" s="261"/>
      <c r="F25" s="37"/>
      <c r="G25" s="259"/>
      <c r="H25" s="260"/>
      <c r="I25" s="260"/>
      <c r="J25" s="261"/>
      <c r="K25" s="105"/>
      <c r="L25" s="39"/>
      <c r="N25" s="27">
        <f>IF(D24="Yes",1,0)</f>
        <v>1</v>
      </c>
      <c r="O25" s="27">
        <f>IF(D24="No",1,0)</f>
        <v>0</v>
      </c>
    </row>
    <row r="26" spans="1:16" ht="15.75" customHeight="1">
      <c r="A26" s="33"/>
      <c r="B26" s="68"/>
      <c r="C26" s="34"/>
      <c r="D26" s="40"/>
      <c r="E26" s="40"/>
      <c r="F26" s="41"/>
      <c r="G26" s="40"/>
      <c r="H26" s="272"/>
      <c r="I26" s="272"/>
      <c r="J26" s="272"/>
      <c r="K26" s="105"/>
      <c r="L26" s="39"/>
      <c r="N26" s="27">
        <f>IF(D25="Yes",1,0)</f>
        <v>1</v>
      </c>
      <c r="O26" s="27">
        <f>IF(D25="No",1,0)</f>
        <v>0</v>
      </c>
    </row>
    <row r="27" spans="1:16" ht="31.5">
      <c r="A27" s="33"/>
      <c r="B27" s="64" t="str">
        <f>IF($D$3="English",B100,IF($D$3="中文 Chinese",C100,IF($D$3="日本語 Japanese",D100,IF($D$3="한국어 Korean",E100,IF($D$3="Français",F100,IF($D$3="Português",G100,IF($D$3="Deutsch",H100,IF($D$3="Español",I100))))))))</f>
        <v>2) Do the following metals (necessary to the functionality or production of your company's products) originate from the DRC or an adjoining country? (*)</v>
      </c>
      <c r="C27" s="34"/>
      <c r="D27" s="146" t="str">
        <f>IF($D$3="English",$J$83,IF($D$3="中文 Chinese",$K$83,IF($D$3="日本語 Japanese",$L$83,IF($D$3="한국어 Korean",$M$83,IF($D$3="Français",$N$83,IF($D$3="Português",$O$83,IF($D$3="Deutsch",$P$83,IF($D$3="Español",$Q$83))))))))</f>
        <v>Answer</v>
      </c>
      <c r="E27" s="66"/>
      <c r="F27" s="67"/>
      <c r="G27" s="64" t="str">
        <f>IF($D$3="English",$J$85,IF($D$3="中文 Chinese",$K$85,IF($D$3="日本語 Japanese",$L$85,IF($D$3="한국어 Korean",$M$85,IF($D$3="Français",$N$85,IF($D$3="Português",$O$85,IF($D$3="Deutsch",$P$85,IF($D$3="Español",$Q$85))))))))</f>
        <v>Comments</v>
      </c>
      <c r="H27" s="64"/>
      <c r="I27" s="64"/>
      <c r="J27" s="36"/>
      <c r="K27" s="105"/>
      <c r="L27" s="39"/>
      <c r="N27" s="27">
        <f>SUM(N23:N26)</f>
        <v>4</v>
      </c>
      <c r="O27" s="76">
        <f>SUM(O23:O26)</f>
        <v>0</v>
      </c>
    </row>
    <row r="28" spans="1:16" ht="15.75">
      <c r="A28" s="33"/>
      <c r="B28" s="63" t="str">
        <f>IF($D$3="English",$J$86,IF($D$3="中文 Chinese",$K$86,IF($D$3="日本語 Japanese",$L$86,IF($D$3="한국어 Korean",$M$86,IF($D$3="Français",$N$86,IF($D$3="Português",$O$86,IF($D$3="Deutsch",$P$86,IF($D$3="Español",$Q$86))))))))</f>
        <v>Tantalum (Ta) (*)</v>
      </c>
      <c r="C28" s="34"/>
      <c r="D28" s="259" t="s">
        <v>2348</v>
      </c>
      <c r="E28" s="261"/>
      <c r="F28" s="180">
        <f>IF(D22="No",1,0)</f>
        <v>0</v>
      </c>
      <c r="G28" s="259"/>
      <c r="H28" s="260"/>
      <c r="I28" s="260"/>
      <c r="J28" s="261"/>
      <c r="K28" s="105"/>
      <c r="L28" s="39"/>
    </row>
    <row r="29" spans="1:16" ht="16.5" customHeight="1">
      <c r="A29" s="33"/>
      <c r="B29" s="63" t="str">
        <f>IF($D$3="English",$J$87,IF($D$3="中文 Chinese",$K$87,IF($D$3="日本語 Japanese",$L$87,IF($D$3="한국어 Korean",$M$87,IF($D$3="Français",$N$87,IF($D$3="Português",$O$87,IF($D$3="Deutsch",$P$87,IF($D$3="Español",$Q$87))))))))</f>
        <v>Tin (Sn) (*)</v>
      </c>
      <c r="C29" s="34"/>
      <c r="D29" s="259" t="s">
        <v>2348</v>
      </c>
      <c r="E29" s="261"/>
      <c r="F29" s="180">
        <f>IF(D23="No",1,0)</f>
        <v>0</v>
      </c>
      <c r="G29" s="259"/>
      <c r="H29" s="260"/>
      <c r="I29" s="260"/>
      <c r="J29" s="261"/>
      <c r="K29" s="105"/>
      <c r="L29" s="39"/>
    </row>
    <row r="30" spans="1:16" ht="16.5" customHeight="1">
      <c r="A30" s="33"/>
      <c r="B30" s="63" t="str">
        <f>IF($D$3="English",$J$88,IF($D$3="中文 Chinese",$K$88,IF($D$3="日本語 Japanese",$L$88,IF($D$3="한국어 Korean",$M$88,IF($D$3="Français",$N$88,IF($D$3="Português",$O$88,IF($D$3="Deutsch",$P$88,IF($D$3="Español",$Q$88))))))))</f>
        <v>Gold (Au) (*)</v>
      </c>
      <c r="C30" s="34"/>
      <c r="D30" s="259" t="s">
        <v>2349</v>
      </c>
      <c r="E30" s="261"/>
      <c r="F30" s="180">
        <f>IF(D24="No",1,0)</f>
        <v>0</v>
      </c>
      <c r="G30" s="259"/>
      <c r="H30" s="260"/>
      <c r="I30" s="260"/>
      <c r="J30" s="261"/>
      <c r="K30" s="105"/>
      <c r="L30" s="39"/>
    </row>
    <row r="31" spans="1:16" ht="16.5" customHeight="1">
      <c r="A31" s="33"/>
      <c r="B31" s="63" t="str">
        <f>IF($D$3="English",$J$89,IF($D$3="中文 Chinese",$K$89,IF($D$3="日本語 Japanese",$L$89,IF($D$3="한국어 Korean",$M$89,IF($D$3="Français",$N$89,IF($D$3="Português",$O$89,IF($D$3="Deutsch",$P$89,IF($D$3="Español",$Q$89))))))))</f>
        <v>Tungsten (W) (*)</v>
      </c>
      <c r="C31" s="34"/>
      <c r="D31" s="259" t="s">
        <v>2348</v>
      </c>
      <c r="E31" s="261"/>
      <c r="F31" s="180">
        <f>IF(D25="No",1,0)</f>
        <v>0</v>
      </c>
      <c r="G31" s="259"/>
      <c r="H31" s="260"/>
      <c r="I31" s="260"/>
      <c r="J31" s="261"/>
      <c r="K31" s="105"/>
      <c r="L31" s="39"/>
    </row>
    <row r="32" spans="1:16" ht="16.5" customHeight="1">
      <c r="A32" s="33"/>
      <c r="B32" s="136"/>
      <c r="C32" s="34"/>
      <c r="D32" s="41"/>
      <c r="E32" s="41"/>
      <c r="F32" s="180"/>
      <c r="G32" s="41"/>
      <c r="H32" s="141"/>
      <c r="I32" s="141"/>
      <c r="J32" s="141"/>
      <c r="K32" s="105"/>
      <c r="L32" s="39"/>
    </row>
    <row r="33" spans="1:13" ht="31.5">
      <c r="A33" s="33"/>
      <c r="B33" s="64" t="str">
        <f>IF($D$3="English",B101,IF($D$3="中文 Chinese",C101,IF($D$3="日本語 Japanese",D101,IF($D$3="한국어 Korean",E101,IF($D$3="Français",F101,IF($D$3="Português",G101,IF($D$3="Deutsch",H101,IF($D$3="Español",I101))))))))</f>
        <v>3) Do the following metals (necessary to the functionality or production of your products) come from a recycler or scrap supplier? (*)</v>
      </c>
      <c r="C33" s="34"/>
      <c r="D33" s="146" t="str">
        <f>IF($D$3="English",$J$83,IF($D$3="中文 Chinese",$K$83,IF($D$3="日本語 Japanese",$L$83,IF($D$3="한국어 Korean",$M$83,IF($D$3="Français",$N$83,IF($D$3="Português",$O$83,IF($D$3="Deutsch",$P$83,IF($D$3="Español",$Q$83))))))))</f>
        <v>Answer</v>
      </c>
      <c r="E33" s="66"/>
      <c r="F33" s="181"/>
      <c r="G33" s="64" t="str">
        <f>IF($D$3="English",$J$85,IF($D$3="中文 Chinese",$K$85,IF($D$3="日本語 Japanese",$L$85,IF($D$3="한국어 Korean",$M$85,IF($D$3="Français",$N$85,IF($D$3="Português",$O$85,IF($D$3="Deutsch",$P$85,IF($D$3="Español",$Q$85))))))))</f>
        <v>Comments</v>
      </c>
      <c r="H33" s="64"/>
      <c r="I33" s="64"/>
      <c r="J33" s="36"/>
      <c r="K33" s="105"/>
      <c r="L33" s="39"/>
    </row>
    <row r="34" spans="1:13" ht="15.75">
      <c r="A34" s="33"/>
      <c r="B34" s="63" t="str">
        <f>IF($D$3="English",$J$86,IF($D$3="中文 Chinese",$K$86,IF($D$3="日本語 Japanese",$L$86,IF($D$3="한국어 Korean",$M$86,IF($D$3="Français",$N$86,IF($D$3="Português",$O$86,IF($D$3="Deutsch",$P$86,IF($D$3="Español",$Q$86))))))))</f>
        <v>Tantalum (Ta) (*)</v>
      </c>
      <c r="C34" s="34"/>
      <c r="D34" s="259" t="s">
        <v>2348</v>
      </c>
      <c r="E34" s="261"/>
      <c r="F34" s="180">
        <f>IF(D22="No",1,0)</f>
        <v>0</v>
      </c>
      <c r="G34" s="259"/>
      <c r="H34" s="260"/>
      <c r="I34" s="260"/>
      <c r="J34" s="261"/>
      <c r="K34" s="105"/>
      <c r="L34" s="39"/>
    </row>
    <row r="35" spans="1:13" ht="16.5" customHeight="1">
      <c r="A35" s="33"/>
      <c r="B35" s="63" t="str">
        <f>IF($D$3="English",$J$87,IF($D$3="中文 Chinese",$K$87,IF($D$3="日本語 Japanese",$L$87,IF($D$3="한국어 Korean",$M$87,IF($D$3="Français",$N$87,IF($D$3="Português",$O$87,IF($D$3="Deutsch",$P$87,IF($D$3="Español",$Q$87))))))))</f>
        <v>Tin (Sn) (*)</v>
      </c>
      <c r="C35" s="34"/>
      <c r="D35" s="259" t="s">
        <v>2348</v>
      </c>
      <c r="E35" s="261"/>
      <c r="F35" s="180">
        <f>IF(D23="No",1,0)</f>
        <v>0</v>
      </c>
      <c r="G35" s="259"/>
      <c r="H35" s="260"/>
      <c r="I35" s="260"/>
      <c r="J35" s="261"/>
      <c r="K35" s="105"/>
      <c r="L35" s="39"/>
    </row>
    <row r="36" spans="1:13" ht="16.5" customHeight="1">
      <c r="A36" s="33"/>
      <c r="B36" s="63" t="str">
        <f>IF($D$3="English",$J$88,IF($D$3="中文 Chinese",$K$88,IF($D$3="日本語 Japanese",$L$88,IF($D$3="한국어 Korean",$M$88,IF($D$3="Français",$N$88,IF($D$3="Português",$O$88,IF($D$3="Deutsch",$P$88,IF($D$3="Español",$Q$88))))))))</f>
        <v>Gold (Au) (*)</v>
      </c>
      <c r="C36" s="34"/>
      <c r="D36" s="259" t="s">
        <v>2349</v>
      </c>
      <c r="E36" s="261"/>
      <c r="F36" s="180">
        <f>IF(D24="No",1,0)</f>
        <v>0</v>
      </c>
      <c r="G36" s="259"/>
      <c r="H36" s="260"/>
      <c r="I36" s="260"/>
      <c r="J36" s="261"/>
      <c r="K36" s="105"/>
      <c r="L36" s="39"/>
    </row>
    <row r="37" spans="1:13" ht="16.5" customHeight="1">
      <c r="A37" s="33"/>
      <c r="B37" s="63" t="str">
        <f>IF($D$3="English",$J$89,IF($D$3="中文 Chinese",$K$89,IF($D$3="日本語 Japanese",$L$89,IF($D$3="한국어 Korean",$M$89,IF($D$3="Français",$N$89,IF($D$3="Português",$O$89,IF($D$3="Deutsch",$P$89,IF($D$3="Español",$Q$89))))))))</f>
        <v>Tungsten (W) (*)</v>
      </c>
      <c r="C37" s="34"/>
      <c r="D37" s="259" t="s">
        <v>2348</v>
      </c>
      <c r="E37" s="261"/>
      <c r="F37" s="180">
        <f>IF(D25="No",1,0)</f>
        <v>0</v>
      </c>
      <c r="G37" s="259"/>
      <c r="H37" s="260"/>
      <c r="I37" s="260"/>
      <c r="J37" s="261"/>
      <c r="K37" s="105"/>
      <c r="L37" s="39"/>
    </row>
    <row r="38" spans="1:13" ht="16.5" customHeight="1">
      <c r="A38" s="33"/>
      <c r="B38" s="136"/>
      <c r="C38" s="34"/>
      <c r="D38" s="41"/>
      <c r="E38" s="41"/>
      <c r="F38" s="180"/>
      <c r="G38" s="41"/>
      <c r="H38" s="141"/>
      <c r="I38" s="141"/>
      <c r="J38" s="141"/>
      <c r="K38" s="105"/>
      <c r="L38" s="39"/>
    </row>
    <row r="39" spans="1:13" ht="34.15" customHeight="1">
      <c r="A39" s="33"/>
      <c r="B39" s="69" t="str">
        <f>IF($D$3="English",B102,IF($D$3="中文 Chinese",C102,IF($D$3="日本語 Japanese",D102,IF($D$3="한국어 Korean",E102,IF($D$3="Français",F102,IF($D$3="Português",G102,IF($D$3="Deutsch",H102,IF($D$3="Español",I102))))))))</f>
        <v>4) Have you received completed Conflict Minerals Reporting Templates from all of your suppliers? (*)</v>
      </c>
      <c r="C39" s="34"/>
      <c r="D39" s="146" t="str">
        <f>IF($D$3="English",$J$83,IF($D$3="中文 Chinese",$K$83,IF($D$3="日本語 Japanese",$L$83,IF($D$3="한국어 Korean",$M$83,IF($D$3="Français",$N$83,IF($D$3="Português",$O$83,IF($D$3="Deutsch",$P$83,IF($D$3="Español",$Q$83))))))))</f>
        <v>Answer</v>
      </c>
      <c r="E39" s="66"/>
      <c r="F39" s="181"/>
      <c r="G39" s="64" t="str">
        <f>IF($D$3="English",$J$85,IF($D$3="中文 Chinese",$K$85,IF($D$3="日本語 Japanese",$L$85,IF($D$3="한국어 Korean",$M$85,IF($D$3="Français",$N$85,IF($D$3="Português",$O$85,IF($D$3="Deutsch",$P$85,IF($D$3="Español",$Q$85))))))))</f>
        <v>Comments</v>
      </c>
      <c r="H39" s="266" t="str">
        <f>IF(N27&gt;0,"Click here to enter smelter names","")</f>
        <v>Click here to enter smelter names</v>
      </c>
      <c r="I39" s="266"/>
      <c r="J39" s="266"/>
      <c r="K39" s="105"/>
      <c r="L39" s="39"/>
    </row>
    <row r="40" spans="1:13" ht="15.75">
      <c r="A40" s="33"/>
      <c r="B40" s="63" t="str">
        <f>IF($D$3="English",$J$86,IF($D$3="中文 Chinese",$K$86,IF($D$3="日本語 Japanese",$L$86,IF($D$3="한국어 Korean",$M$86,IF($D$3="Français",$N$86,IF($D$3="Português",$O$86,IF($D$3="Deutsch",$P$86,IF($D$3="Español",$Q$86))))))))</f>
        <v>Tantalum (Ta) (*)</v>
      </c>
      <c r="C40" s="30"/>
      <c r="D40" s="259" t="s">
        <v>2347</v>
      </c>
      <c r="E40" s="261"/>
      <c r="F40" s="180">
        <f>IF(D22="No",1,0)</f>
        <v>0</v>
      </c>
      <c r="G40" s="259"/>
      <c r="H40" s="260"/>
      <c r="I40" s="260"/>
      <c r="J40" s="261"/>
      <c r="K40" s="105"/>
      <c r="L40" s="39"/>
    </row>
    <row r="41" spans="1:13" ht="16.5" customHeight="1">
      <c r="A41" s="33"/>
      <c r="B41" s="63" t="str">
        <f>IF($D$3="English",$J$87,IF($D$3="中文 Chinese",$K$87,IF($D$3="日本語 Japanese",$L$87,IF($D$3="한국어 Korean",$M$87,IF($D$3="Français",$N$87,IF($D$3="Português",$O$87,IF($D$3="Deutsch",$P$87,IF($D$3="Español",$Q$87))))))))</f>
        <v>Tin (Sn) (*)</v>
      </c>
      <c r="C41" s="30"/>
      <c r="D41" s="259" t="s">
        <v>2350</v>
      </c>
      <c r="E41" s="261"/>
      <c r="F41" s="180">
        <f>IF(D23="No",1,0)</f>
        <v>0</v>
      </c>
      <c r="G41" s="259"/>
      <c r="H41" s="260"/>
      <c r="I41" s="260"/>
      <c r="J41" s="261"/>
      <c r="K41" s="105"/>
      <c r="L41" s="39"/>
    </row>
    <row r="42" spans="1:13" ht="16.5" customHeight="1">
      <c r="A42" s="33"/>
      <c r="B42" s="63" t="str">
        <f>IF($D$3="English",$J$88,IF($D$3="中文 Chinese",$K$88,IF($D$3="日本語 Japanese",$L$88,IF($D$3="한국어 Korean",$M$88,IF($D$3="Français",$N$88,IF($D$3="Português",$O$88,IF($D$3="Deutsch",$P$88,IF($D$3="Español",$Q$88))))))))</f>
        <v>Gold (Au) (*)</v>
      </c>
      <c r="C42" s="30"/>
      <c r="D42" s="259" t="s">
        <v>2347</v>
      </c>
      <c r="E42" s="261"/>
      <c r="F42" s="180">
        <f>IF(D24="No",1,0)</f>
        <v>0</v>
      </c>
      <c r="G42" s="259"/>
      <c r="H42" s="260"/>
      <c r="I42" s="260"/>
      <c r="J42" s="261"/>
      <c r="K42" s="105"/>
      <c r="L42" s="39"/>
    </row>
    <row r="43" spans="1:13" ht="15.75">
      <c r="A43" s="33"/>
      <c r="B43" s="63" t="str">
        <f>IF($D$3="English",$J$89,IF($D$3="中文 Chinese",$K$89,IF($D$3="日本語 Japanese",$L$89,IF($D$3="한국어 Korean",$M$89,IF($D$3="Français",$N$89,IF($D$3="Português",$O$89,IF($D$3="Deutsch",$P$89,IF($D$3="Español",$Q$89))))))))</f>
        <v>Tungsten (W) (*)</v>
      </c>
      <c r="C43" s="30"/>
      <c r="D43" s="259" t="s">
        <v>2347</v>
      </c>
      <c r="E43" s="261"/>
      <c r="F43" s="180">
        <f>IF(D25="No",1,0)</f>
        <v>0</v>
      </c>
      <c r="G43" s="259"/>
      <c r="H43" s="260"/>
      <c r="I43" s="260"/>
      <c r="J43" s="261"/>
      <c r="K43" s="105"/>
      <c r="L43" s="39"/>
      <c r="M43" s="32"/>
    </row>
    <row r="44" spans="1:13" ht="16.5" customHeight="1">
      <c r="A44" s="33"/>
      <c r="B44" s="68"/>
      <c r="C44" s="34"/>
      <c r="D44" s="42"/>
      <c r="E44" s="42"/>
      <c r="F44" s="180"/>
      <c r="G44" s="43"/>
      <c r="H44" s="43"/>
      <c r="I44" s="43"/>
      <c r="J44" s="43"/>
      <c r="K44" s="105"/>
      <c r="L44" s="39"/>
      <c r="M44" s="32"/>
    </row>
    <row r="45" spans="1:13" ht="52.9" customHeight="1">
      <c r="A45" s="33"/>
      <c r="B45" s="69" t="str">
        <f>IF($D$3="English",B103,IF($D$3="中文 Chinese",C103,IF($D$3="日本語 Japanese",D103,IF($D$3="한국어 Korean",E103,IF($D$3="Français",F103,IF($D$3="Português",G103,IF($D$3="Deutsch",H103,IF($D$3="Español",I103))))))))</f>
        <v>5) For each of the following metals, have you identified all of the smelters your company and its suppliers use to supply the products included within the declaration scope indicated above? (*)</v>
      </c>
      <c r="C45" s="34"/>
      <c r="D45" s="146" t="str">
        <f>IF($D$3="English",$J$83,IF($D$3="中文 Chinese",$K$83,IF($D$3="日本語 Japanese",$L$83,IF($D$3="한국어 Korean",$M$83,IF($D$3="Français",$N$83,IF($D$3="Português",$O$83,IF($D$3="Deutsch",$P$83,IF($D$3="Español",$Q$83))))))))</f>
        <v>Answer</v>
      </c>
      <c r="E45" s="66"/>
      <c r="F45" s="181"/>
      <c r="G45" s="64" t="str">
        <f>IF($D$3="English",$J$85,IF($D$3="中文 Chinese",$K$85,IF($D$3="日本語 Japanese",$L$85,IF($D$3="한국어 Korean",$M$85,IF($D$3="Français",$N$85,IF($D$3="Português",$O$85,IF($D$3="Deutsch",$P$85,IF($D$3="Español",$Q$85))))))))</f>
        <v>Comments</v>
      </c>
      <c r="H45" s="300" t="str">
        <f>IF(N45&gt;0,"Click here to enter smelter names","")</f>
        <v/>
      </c>
      <c r="I45" s="300"/>
      <c r="J45" s="300"/>
      <c r="K45" s="105"/>
      <c r="L45" s="39"/>
      <c r="M45" s="32"/>
    </row>
    <row r="46" spans="1:13" ht="15.75">
      <c r="A46" s="33"/>
      <c r="B46" s="63" t="str">
        <f>IF($D$3="English",$J$86,IF($D$3="中文 Chinese",$K$86,IF($D$3="日本語 Japanese",$L$86,IF($D$3="한국어 Korean",$M$86,IF($D$3="Français",$N$86,IF($D$3="Português",$O$86,IF($D$3="Deutsch",$P$86,IF($D$3="Español",$Q$86))))))))</f>
        <v>Tantalum (Ta) (*)</v>
      </c>
      <c r="C46" s="34"/>
      <c r="D46" s="259" t="s">
        <v>2351</v>
      </c>
      <c r="E46" s="261"/>
      <c r="F46" s="180">
        <f>IF(D22="No",1,0)</f>
        <v>0</v>
      </c>
      <c r="G46" s="259"/>
      <c r="H46" s="260"/>
      <c r="I46" s="260"/>
      <c r="J46" s="261"/>
      <c r="K46" s="105"/>
      <c r="L46" s="39"/>
      <c r="M46" s="32"/>
    </row>
    <row r="47" spans="1:13" ht="16.5" customHeight="1">
      <c r="A47" s="33"/>
      <c r="B47" s="63" t="str">
        <f>IF($D$3="English",$J$87,IF($D$3="中文 Chinese",$K$87,IF($D$3="日本語 Japanese",$L$87,IF($D$3="한국어 Korean",$M$87,IF($D$3="Français",$N$87,IF($D$3="Português",$O$87,IF($D$3="Deutsch",$P$87,IF($D$3="Español",$Q$87))))))))</f>
        <v>Tin (Sn) (*)</v>
      </c>
      <c r="C47" s="34"/>
      <c r="D47" s="259" t="s">
        <v>2348</v>
      </c>
      <c r="E47" s="261"/>
      <c r="F47" s="180">
        <f>IF(D23="No",1,0)</f>
        <v>0</v>
      </c>
      <c r="G47" s="259"/>
      <c r="H47" s="260"/>
      <c r="I47" s="260"/>
      <c r="J47" s="261"/>
      <c r="K47" s="105"/>
      <c r="L47" s="39"/>
      <c r="M47" s="32"/>
    </row>
    <row r="48" spans="1:13" ht="16.5" customHeight="1">
      <c r="A48" s="33"/>
      <c r="B48" s="63" t="str">
        <f>IF($D$3="English",$J$88,IF($D$3="中文 Chinese",$K$88,IF($D$3="日本語 Japanese",$L$88,IF($D$3="한국어 Korean",$M$88,IF($D$3="Français",$N$88,IF($D$3="Português",$O$88,IF($D$3="Deutsch",$P$88,IF($D$3="Español",$Q$88))))))))</f>
        <v>Gold (Au) (*)</v>
      </c>
      <c r="C48" s="34"/>
      <c r="D48" s="259" t="s">
        <v>2351</v>
      </c>
      <c r="E48" s="261"/>
      <c r="F48" s="180">
        <f>IF(D24="No",1,0)</f>
        <v>0</v>
      </c>
      <c r="G48" s="259"/>
      <c r="H48" s="260"/>
      <c r="I48" s="260"/>
      <c r="J48" s="261"/>
      <c r="K48" s="105"/>
      <c r="L48" s="39"/>
      <c r="M48" s="32"/>
    </row>
    <row r="49" spans="1:13" ht="16.5" customHeight="1">
      <c r="A49" s="33"/>
      <c r="B49" s="63" t="str">
        <f>IF($D$3="English",$J$89,IF($D$3="中文 Chinese",$K$89,IF($D$3="日本語 Japanese",$L$89,IF($D$3="한국어 Korean",$M$89,IF($D$3="Français",$N$89,IF($D$3="Português",$O$89,IF($D$3="Deutsch",$P$89,IF($D$3="Español",$Q$89))))))))</f>
        <v>Tungsten (W) (*)</v>
      </c>
      <c r="C49" s="34"/>
      <c r="D49" s="259" t="s">
        <v>2351</v>
      </c>
      <c r="E49" s="261"/>
      <c r="F49" s="180">
        <f>IF(D25="No",1,0)</f>
        <v>0</v>
      </c>
      <c r="G49" s="259"/>
      <c r="H49" s="260"/>
      <c r="I49" s="260"/>
      <c r="J49" s="261"/>
      <c r="K49" s="105"/>
      <c r="L49" s="39"/>
      <c r="M49" s="32"/>
    </row>
    <row r="50" spans="1:13" ht="16.5" customHeight="1">
      <c r="A50" s="33"/>
      <c r="B50" s="136"/>
      <c r="C50" s="34"/>
      <c r="D50" s="53"/>
      <c r="E50" s="53"/>
      <c r="F50" s="180"/>
      <c r="G50" s="137"/>
      <c r="H50" s="137"/>
      <c r="I50" s="137"/>
      <c r="J50" s="137"/>
      <c r="K50" s="105"/>
      <c r="L50" s="39"/>
      <c r="M50" s="32"/>
    </row>
    <row r="51" spans="1:13" ht="47.25">
      <c r="A51" s="33"/>
      <c r="B51" s="64" t="str">
        <f>IF($D$3="English",B104,IF($D$3="中文 Chinese",C104,IF($D$3="日本語 Japanese",D104,IF($D$3="한국어 Korean",E104,IF($D$3="Français",F104,IF($D$3="Português",G104,IF($D$3="Deutsch",H104,IF($D$3="Español",I104))))))))</f>
        <v>6) Have all of the smelters used by your company and its suppliers been validated as compliant in accordance with the Conflict-Free Smelter (CFS) Program and listed on the Compliant Smelter List for the following metals? (*)</v>
      </c>
      <c r="C51" s="34"/>
      <c r="D51" s="146" t="str">
        <f>IF($D$3="English",$J$83,IF($D$3="中文 Chinese",$K$83,IF($D$3="日本語 Japanese",$L$83,IF($D$3="한국어 Korean",$M$83,IF($D$3="Français",$N$83,IF($D$3="Português",$O$83,IF($D$3="Deutsch",$P$83,IF($D$3="Español",$Q$83))))))))</f>
        <v>Answer</v>
      </c>
      <c r="E51" s="66"/>
      <c r="F51" s="181"/>
      <c r="G51" s="64" t="str">
        <f>IF($D$3="English",$J$85,IF($D$3="中文 Chinese",$K$85,IF($D$3="日本語 Japanese",$L$85,IF($D$3="한국어 Korean",$M$85,IF($D$3="Français",$N$85,IF($D$3="Português",$O$85,IF($D$3="Deutsch",$P$85,IF($D$3="Español",$Q$85))))))))</f>
        <v>Comments</v>
      </c>
      <c r="H51" s="298" t="s">
        <v>1371</v>
      </c>
      <c r="I51" s="298"/>
      <c r="J51" s="298"/>
      <c r="K51" s="105"/>
      <c r="L51" s="39"/>
      <c r="M51" s="32"/>
    </row>
    <row r="52" spans="1:13" ht="15.75">
      <c r="A52" s="33"/>
      <c r="B52" s="63" t="str">
        <f>IF($D$3="English",$J$86,IF($D$3="中文 Chinese",$K$86,IF($D$3="日本語 Japanese",$L$86,IF($D$3="한국어 Korean",$M$86,IF($D$3="Français",$N$86,IF($D$3="Português",$O$86,IF($D$3="Deutsch",$P$86,IF($D$3="Español",$Q$86))))))))</f>
        <v>Tantalum (Ta) (*)</v>
      </c>
      <c r="C52" s="30"/>
      <c r="D52" s="259" t="s">
        <v>2347</v>
      </c>
      <c r="E52" s="261"/>
      <c r="F52" s="182">
        <f>IF(D22="No",1,0)</f>
        <v>0</v>
      </c>
      <c r="G52" s="259"/>
      <c r="H52" s="260"/>
      <c r="I52" s="260"/>
      <c r="J52" s="261"/>
      <c r="K52" s="105"/>
      <c r="L52" s="39"/>
      <c r="M52" s="32"/>
    </row>
    <row r="53" spans="1:13" ht="16.5" customHeight="1">
      <c r="A53" s="33"/>
      <c r="B53" s="63" t="str">
        <f>IF($D$3="English",$J$87,IF($D$3="中文 Chinese",$K$87,IF($D$3="日本語 Japanese",$L$87,IF($D$3="한국어 Korean",$M$87,IF($D$3="Français",$N$87,IF($D$3="Português",$O$87,IF($D$3="Deutsch",$P$87,IF($D$3="Español",$Q$87))))))))</f>
        <v>Tin (Sn) (*)</v>
      </c>
      <c r="C53" s="30"/>
      <c r="D53" s="259" t="s">
        <v>2347</v>
      </c>
      <c r="E53" s="261"/>
      <c r="F53" s="182">
        <f>IF(D23="No",1,0)</f>
        <v>0</v>
      </c>
      <c r="G53" s="259"/>
      <c r="H53" s="260"/>
      <c r="I53" s="260"/>
      <c r="J53" s="261"/>
      <c r="K53" s="105"/>
      <c r="L53" s="39"/>
      <c r="M53" s="32"/>
    </row>
    <row r="54" spans="1:13" ht="16.5" customHeight="1">
      <c r="A54" s="33"/>
      <c r="B54" s="63" t="str">
        <f>IF($D$3="English",$J$88,IF($D$3="中文 Chinese",$K$88,IF($D$3="日本語 Japanese",$L$88,IF($D$3="한국어 Korean",$M$88,IF($D$3="Français",$N$88,IF($D$3="Português",$O$88,IF($D$3="Deutsch",$P$88,IF($D$3="Español",$Q$88))))))))</f>
        <v>Gold (Au) (*)</v>
      </c>
      <c r="C54" s="30"/>
      <c r="D54" s="259" t="s">
        <v>2348</v>
      </c>
      <c r="E54" s="261"/>
      <c r="F54" s="182">
        <f>IF(D24="No",1,0)</f>
        <v>0</v>
      </c>
      <c r="G54" s="259"/>
      <c r="H54" s="260"/>
      <c r="I54" s="260"/>
      <c r="J54" s="261"/>
      <c r="K54" s="105"/>
      <c r="L54" s="39"/>
      <c r="M54" s="32"/>
    </row>
    <row r="55" spans="1:13" ht="15.75">
      <c r="A55" s="160"/>
      <c r="B55" s="63" t="str">
        <f>IF($D$3="English",$J$89,IF($D$3="中文 Chinese",$K$89,IF($D$3="日本語 Japanese",$L$89,IF($D$3="한국어 Korean",$M$89,IF($D$3="Français",$N$89,IF($D$3="Português",$O$89,IF($D$3="Deutsch",$P$89,IF($D$3="Español",$Q$89))))))))</f>
        <v>Tungsten (W) (*)</v>
      </c>
      <c r="C55" s="155"/>
      <c r="D55" s="259" t="s">
        <v>2347</v>
      </c>
      <c r="E55" s="261"/>
      <c r="F55" s="183">
        <f>IF(D25="No",1,0)</f>
        <v>0</v>
      </c>
      <c r="G55" s="259"/>
      <c r="H55" s="260"/>
      <c r="I55" s="260"/>
      <c r="J55" s="261"/>
      <c r="K55" s="161"/>
      <c r="L55" s="44"/>
    </row>
    <row r="56" spans="1:13" ht="15">
      <c r="A56" s="33"/>
      <c r="B56" s="65"/>
      <c r="C56" s="34"/>
      <c r="D56" s="34"/>
      <c r="E56" s="34"/>
      <c r="F56" s="34"/>
      <c r="G56" s="45"/>
      <c r="H56" s="45"/>
      <c r="I56" s="45"/>
      <c r="J56" s="45"/>
      <c r="K56" s="105"/>
      <c r="L56" s="46"/>
    </row>
    <row r="57" spans="1:13" ht="15">
      <c r="A57" s="33"/>
      <c r="B57" s="299" t="str">
        <f>IF($D$3="English",B105,IF($D$3="中文 Chinese",C105,IF($D$3="日本語 Japanese",D105,IF($D$3="한국어 Korean",E105,IF($D$3="Français",F105,IF($D$3="Português",G105,IF($D$3="Deutsch",H105,IF($D$3="Español",I105))))))))</f>
        <v>Answer the Following Questions at a Company Level</v>
      </c>
      <c r="C57" s="299"/>
      <c r="D57" s="299"/>
      <c r="E57" s="299"/>
      <c r="F57" s="299"/>
      <c r="G57" s="299"/>
      <c r="H57" s="299"/>
      <c r="I57" s="299"/>
      <c r="J57" s="299"/>
      <c r="K57" s="105"/>
      <c r="L57" s="46"/>
    </row>
    <row r="58" spans="1:13" ht="15.75">
      <c r="A58" s="154"/>
      <c r="B58" s="163" t="str">
        <f>IF($D$3="English",$J$84,IF($D$3="中文 Chinese",$K$84,IF($D$3="日本語 Japanese",$L$84,IF($D$3="한국어 Korean",$M$84,IF($D$3="Français",$N$84,IF($D$3="Português",$O$84,IF($D$3="Deutsch",$P$84,IF($D$3="Español",$Q$84))))))))</f>
        <v>Question</v>
      </c>
      <c r="C58" s="156"/>
      <c r="D58" s="157" t="str">
        <f>IF($D$3="English",$J$83,IF($D$3="中文 Chinese",$K$83,IF($D$3="日本語 Japanese",$L$83,IF($D$3="한국어 Korean",$M$83,IF($D$3="Français",$N$83,IF($D$3="Português",$O$83,IF($D$3="Deutsch",$P$83,IF($D$3="Español",$Q$83))))))))</f>
        <v>Answer</v>
      </c>
      <c r="E58" s="158"/>
      <c r="F58" s="159"/>
      <c r="G58" s="264" t="str">
        <f>IF($D$3="English",$J$90,IF($D$3="中文 Chinese",$K$90,IF($D$3="日本語 Japanese",$L$90,IF($D$3="한국어 Korean",$M$90,IF($D$3="Français",$N$90,IF($D$3="Português",$O$90,IF($D$3="Deutsch",$P$90,IF($D$3="Español",$Q$90))))))))</f>
        <v>Comments and Attachments</v>
      </c>
      <c r="H58" s="264"/>
      <c r="I58" s="264"/>
      <c r="J58" s="51"/>
      <c r="K58" s="150"/>
      <c r="L58" s="48"/>
      <c r="M58" s="32"/>
    </row>
    <row r="59" spans="1:13" ht="15.75">
      <c r="A59" s="33"/>
      <c r="B59" s="70" t="str">
        <f>IF($D$3="English",B106,IF($D$3="中文 Chinese",C106,IF($D$3="日本語 Japanese",D106,IF($D$3="한국어 Korean",E106,IF($D$3="Français",F106,IF($D$3="Português",G106,IF($D$3="Deutsch",H106,IF($D$3="Español",I106))))))))</f>
        <v>A. Do you have a policy in place that includes DRC conflict-free sourcing? (*)</v>
      </c>
      <c r="C59" s="47"/>
      <c r="D59" s="259" t="s">
        <v>2347</v>
      </c>
      <c r="E59" s="261"/>
      <c r="F59" s="47"/>
      <c r="G59" s="259"/>
      <c r="H59" s="260"/>
      <c r="I59" s="260"/>
      <c r="J59" s="261"/>
      <c r="K59" s="105"/>
      <c r="L59" s="50"/>
      <c r="M59" s="32"/>
    </row>
    <row r="60" spans="1:13" ht="15.75">
      <c r="A60" s="33"/>
      <c r="B60" s="71"/>
      <c r="C60" s="37"/>
      <c r="D60" s="49"/>
      <c r="E60" s="49"/>
      <c r="F60" s="37"/>
      <c r="G60" s="265"/>
      <c r="H60" s="265"/>
      <c r="I60" s="265"/>
      <c r="J60" s="265"/>
      <c r="K60" s="105"/>
      <c r="L60" s="50"/>
      <c r="M60" s="32"/>
    </row>
    <row r="61" spans="1:13" ht="15.75" customHeight="1">
      <c r="A61" s="33"/>
      <c r="B61" s="70" t="str">
        <f>IF($D$3="English",B107,IF($D$3="中文 Chinese",C107,IF($D$3="日本語 Japanese",D107,IF($D$3="한국어 Korean",E107,IF($D$3="Français",F107,IF($D$3="Português",G107,IF($D$3="Deutsch",H107,IF($D$3="Español",I107))))))))</f>
        <v>B. Is this policy publicly available on your website? (*)</v>
      </c>
      <c r="C61" s="47"/>
      <c r="D61" s="259" t="s">
        <v>2347</v>
      </c>
      <c r="E61" s="261"/>
      <c r="F61" s="47"/>
      <c r="G61" s="259" t="s">
        <v>2352</v>
      </c>
      <c r="H61" s="260"/>
      <c r="I61" s="260"/>
      <c r="J61" s="261"/>
      <c r="K61" s="105"/>
      <c r="L61" s="50"/>
      <c r="M61" s="32"/>
    </row>
    <row r="62" spans="1:13" ht="15.75">
      <c r="A62" s="33"/>
      <c r="B62" s="71"/>
      <c r="C62" s="37"/>
      <c r="D62" s="49"/>
      <c r="E62" s="49"/>
      <c r="F62" s="37"/>
      <c r="G62" s="51"/>
      <c r="H62" s="51"/>
      <c r="I62" s="51"/>
      <c r="J62" s="51"/>
      <c r="K62" s="105"/>
      <c r="L62" s="50"/>
      <c r="M62" s="32"/>
    </row>
    <row r="63" spans="1:13" ht="37.9" customHeight="1">
      <c r="A63" s="33"/>
      <c r="B63" s="70" t="str">
        <f>IF($D$3="English",B108,IF($D$3="中文 Chinese",C108,IF($D$3="日本語 Japanese",D108,IF($D$3="한국어 Korean",E108,IF($D$3="Français",F108,IF($D$3="Português",G108,IF($D$3="Deutsch",H108,IF($D$3="Español",I108))))))))</f>
        <v>C. Do you require your direct suppliers to be DRC conflict-free? (*)</v>
      </c>
      <c r="C63" s="47"/>
      <c r="D63" s="259" t="s">
        <v>2347</v>
      </c>
      <c r="E63" s="261"/>
      <c r="F63" s="47"/>
      <c r="G63" s="259"/>
      <c r="H63" s="260"/>
      <c r="I63" s="260"/>
      <c r="J63" s="261"/>
      <c r="K63" s="105"/>
      <c r="L63" s="50"/>
      <c r="M63" s="32"/>
    </row>
    <row r="64" spans="1:13" ht="15.75">
      <c r="A64" s="33"/>
      <c r="B64" s="71"/>
      <c r="C64" s="37"/>
      <c r="D64" s="49"/>
      <c r="E64" s="49"/>
      <c r="F64" s="37"/>
      <c r="G64" s="51"/>
      <c r="H64" s="51"/>
      <c r="I64" s="51"/>
      <c r="J64" s="51"/>
      <c r="K64" s="105"/>
      <c r="L64" s="50"/>
      <c r="M64" s="32"/>
    </row>
    <row r="65" spans="1:13" ht="60" customHeight="1">
      <c r="A65" s="33"/>
      <c r="B65" s="70" t="str">
        <f>IF($D$3="English",B109,IF($D$3="中文 Chinese",C109,IF($D$3="日本語 Japanese",D109,IF($D$3="한국어 Korean",E109,IF($D$3="Français",F109,IF($D$3="Português",G109,IF($D$3="Deutsch",H109,IF($D$3="Español",I109))))))))</f>
        <v>D. Do you require your direct suppliers to source from smelters validated as compliant to a CFS protocol using the CFS Compliant Smelter List? (*)</v>
      </c>
      <c r="C65" s="47"/>
      <c r="D65" s="259" t="s">
        <v>2347</v>
      </c>
      <c r="E65" s="261"/>
      <c r="F65" s="47"/>
      <c r="G65" s="259"/>
      <c r="H65" s="260"/>
      <c r="I65" s="260"/>
      <c r="J65" s="261"/>
      <c r="K65" s="105"/>
      <c r="L65" s="50"/>
      <c r="M65" s="32"/>
    </row>
    <row r="66" spans="1:13" ht="15.75">
      <c r="A66" s="33"/>
      <c r="B66" s="72"/>
      <c r="C66" s="37"/>
      <c r="D66" s="52"/>
      <c r="E66" s="52"/>
      <c r="F66" s="37"/>
      <c r="G66" s="51"/>
      <c r="H66" s="51"/>
      <c r="I66" s="51"/>
      <c r="J66" s="51"/>
      <c r="K66" s="105"/>
      <c r="L66" s="50"/>
      <c r="M66" s="32"/>
    </row>
    <row r="67" spans="1:13" ht="41.45" customHeight="1">
      <c r="A67" s="33"/>
      <c r="B67" s="70" t="str">
        <f>IF($D$3="English",B110,IF($D$3="中文 Chinese",C110,IF($D$3="日本語 Japanese",D110,IF($D$3="한국어 Korean",E110,IF($D$3="Français",F110,IF($D$3="Português",G110,IF($D$3="Deutsch",H110,IF($D$3="Español",I110))))))))</f>
        <v>E. Have you implemented due diligence measures for conflict-free sourcing? (*)</v>
      </c>
      <c r="C67" s="47"/>
      <c r="D67" s="259" t="s">
        <v>2347</v>
      </c>
      <c r="E67" s="261"/>
      <c r="F67" s="47"/>
      <c r="G67" s="259"/>
      <c r="H67" s="260"/>
      <c r="I67" s="260"/>
      <c r="J67" s="261"/>
      <c r="K67" s="105"/>
      <c r="L67" s="50"/>
      <c r="M67" s="32"/>
    </row>
    <row r="68" spans="1:13" ht="15.75">
      <c r="A68" s="33"/>
      <c r="B68" s="71"/>
      <c r="C68" s="37"/>
      <c r="D68" s="49"/>
      <c r="E68" s="49"/>
      <c r="F68" s="37"/>
      <c r="G68" s="51"/>
      <c r="H68" s="51"/>
      <c r="I68" s="51"/>
      <c r="J68" s="51"/>
      <c r="K68" s="105"/>
      <c r="L68" s="50"/>
      <c r="M68" s="32"/>
    </row>
    <row r="69" spans="1:13" ht="42" customHeight="1">
      <c r="A69" s="33"/>
      <c r="B69" s="70" t="str">
        <f>IF($D$3="English",B111,IF($D$3="中文 Chinese",C111,IF($D$3="日本語 Japanese",D111,IF($D$3="한국어 Korean",E111,IF($D$3="Français",F111,IF($D$3="Português",G111,IF($D$3="Deutsch",H111,IF($D$3="Español",I111))))))))</f>
        <v>F. Do you request your suppliers to fill out this Conflict Minerals Reporting Template? (*)</v>
      </c>
      <c r="C69" s="47"/>
      <c r="D69" s="259" t="s">
        <v>2347</v>
      </c>
      <c r="E69" s="261"/>
      <c r="F69" s="47"/>
      <c r="G69" s="259"/>
      <c r="H69" s="260"/>
      <c r="I69" s="260"/>
      <c r="J69" s="261"/>
      <c r="K69" s="105"/>
      <c r="L69" s="50"/>
      <c r="M69" s="32"/>
    </row>
    <row r="70" spans="1:13" ht="15.75">
      <c r="A70" s="33"/>
      <c r="B70" s="73"/>
      <c r="C70" s="37"/>
      <c r="D70" s="49"/>
      <c r="E70" s="49"/>
      <c r="F70" s="53"/>
      <c r="G70" s="265"/>
      <c r="H70" s="265"/>
      <c r="I70" s="265"/>
      <c r="J70" s="265"/>
      <c r="K70" s="105"/>
      <c r="L70" s="50"/>
      <c r="M70" s="32"/>
    </row>
    <row r="71" spans="1:13" ht="15.75" customHeight="1">
      <c r="A71" s="33"/>
      <c r="B71" s="74" t="str">
        <f>IF($D$3="English",B112,IF($D$3="中文 Chinese",C112,IF($D$3="日本語 Japanese",D112,IF($D$3="한국어 Korean",E112,IF($D$3="Français",F112,IF($D$3="Português",G112,IF($D$3="Deutsch",H112,IF($D$3="Español",I112))))))))</f>
        <v>G. Do you request smelter names from your suppliers? (*)</v>
      </c>
      <c r="C71" s="47"/>
      <c r="D71" s="259" t="s">
        <v>2347</v>
      </c>
      <c r="E71" s="261"/>
      <c r="F71" s="47"/>
      <c r="G71" s="259"/>
      <c r="H71" s="260"/>
      <c r="I71" s="260"/>
      <c r="J71" s="261"/>
      <c r="K71" s="105"/>
      <c r="L71" s="50"/>
      <c r="M71" s="32"/>
    </row>
    <row r="72" spans="1:13" ht="15.75">
      <c r="A72" s="33"/>
      <c r="B72" s="73"/>
      <c r="C72" s="37"/>
      <c r="D72" s="49"/>
      <c r="E72" s="49"/>
      <c r="F72" s="53"/>
      <c r="G72" s="265"/>
      <c r="H72" s="265"/>
      <c r="I72" s="265"/>
      <c r="J72" s="265"/>
      <c r="K72" s="105"/>
      <c r="L72" s="50"/>
      <c r="M72" s="32"/>
    </row>
    <row r="73" spans="1:13" ht="43.9" customHeight="1">
      <c r="A73" s="33"/>
      <c r="B73" s="70" t="str">
        <f>IF($D$3="English",B113,IF($D$3="中文 Chinese",C113,IF($D$3="日本語 Japanese",D113,IF($D$3="한국어 Korean",E113,IF($D$3="Français",F113,IF($D$3="Português",G113,IF($D$3="Deutsch",H113,IF($D$3="Español",I113))))))))</f>
        <v>H. Do you verify due diligence information received from your suppliers? (*)</v>
      </c>
      <c r="C73" s="47"/>
      <c r="D73" s="259" t="s">
        <v>2224</v>
      </c>
      <c r="E73" s="261"/>
      <c r="F73" s="47"/>
      <c r="G73" s="259"/>
      <c r="H73" s="260"/>
      <c r="I73" s="260"/>
      <c r="J73" s="261"/>
      <c r="K73" s="105"/>
      <c r="L73" s="50"/>
      <c r="M73" s="32"/>
    </row>
    <row r="74" spans="1:13" ht="15.75">
      <c r="A74" s="33"/>
      <c r="B74" s="71"/>
      <c r="C74" s="37"/>
      <c r="D74" s="49"/>
      <c r="E74" s="49"/>
      <c r="F74" s="53"/>
      <c r="G74" s="51"/>
      <c r="H74" s="51"/>
      <c r="I74" s="51"/>
      <c r="J74" s="51"/>
      <c r="K74" s="105"/>
      <c r="L74" s="50"/>
      <c r="M74" s="32"/>
    </row>
    <row r="75" spans="1:13" ht="16.5" customHeight="1">
      <c r="A75" s="33"/>
      <c r="B75" s="74" t="str">
        <f>IF($D$3="English",B114,IF($D$3="中文 Chinese",C114,IF($D$3="日本語 Japanese",D114,IF($D$3="한국어 Korean",E114,IF($D$3="Français",F114,IF($D$3="Português",G114,IF($D$3="Deutsch",H114,IF($D$3="Español",I114))))))))</f>
        <v>I. Does your verification process include corrective action management? (*)</v>
      </c>
      <c r="C75" s="47"/>
      <c r="D75" s="259" t="s">
        <v>2347</v>
      </c>
      <c r="E75" s="261"/>
      <c r="F75" s="47"/>
      <c r="G75" s="259" t="s">
        <v>2354</v>
      </c>
      <c r="H75" s="260"/>
      <c r="I75" s="260"/>
      <c r="J75" s="261"/>
      <c r="K75" s="105"/>
      <c r="L75" s="50"/>
      <c r="M75" s="32"/>
    </row>
    <row r="76" spans="1:13" ht="15">
      <c r="A76" s="33"/>
      <c r="B76" s="75"/>
      <c r="C76" s="34"/>
      <c r="D76" s="55"/>
      <c r="E76" s="55"/>
      <c r="F76" s="34"/>
      <c r="G76" s="54"/>
      <c r="H76" s="54"/>
      <c r="I76" s="54"/>
      <c r="J76" s="54"/>
      <c r="K76" s="105"/>
      <c r="L76" s="50"/>
      <c r="M76" s="32"/>
    </row>
    <row r="77" spans="1:13" ht="37.15" customHeight="1">
      <c r="A77" s="33"/>
      <c r="B77" s="74" t="str">
        <f>IF($D$3="English",B115,IF($D$3="中文 Chinese",C115,IF($D$3="日本語 Japanese",D115,IF($D$3="한국어 Korean",E115,IF($D$3="Français",F115,IF($D$3="Português",G115,IF($D$3="Deutsch",H115,IF($D$3="Español",I115))))))))</f>
        <v>J. Are you subject to the SEC Conflict Minerals disclosure requirement rule? (*)</v>
      </c>
      <c r="C77" s="47"/>
      <c r="D77" s="259" t="s">
        <v>2347</v>
      </c>
      <c r="E77" s="261"/>
      <c r="F77" s="47"/>
      <c r="G77" s="259"/>
      <c r="H77" s="260"/>
      <c r="I77" s="260"/>
      <c r="J77" s="261"/>
      <c r="K77" s="105"/>
    </row>
    <row r="78" spans="1:13">
      <c r="A78" s="33"/>
      <c r="B78" s="258" t="str">
        <f>IF(D8="","","Click here to check required fields completion")</f>
        <v>Click here to check required fields completion</v>
      </c>
      <c r="C78" s="258"/>
      <c r="D78" s="258"/>
      <c r="E78" s="258"/>
      <c r="F78" s="258"/>
      <c r="G78" s="258"/>
      <c r="H78" s="258"/>
      <c r="I78" s="258"/>
      <c r="J78" s="258"/>
      <c r="K78" s="105"/>
    </row>
    <row r="79" spans="1:13" ht="13.5" thickBot="1">
      <c r="A79" s="256" t="str">
        <f>IF($D$3="English",B116,IF($D$3="中文 Chinese",C116,IF($D$3="日本語 Japanese",D116,IF($D$3="한국어 Korean",E116,IF($D$3="Français",F116,IF($D$3="Português",G116,IF($D$3="Deutsch",H116,IF($D$3="Español",I116))))))))</f>
        <v>© 2011 Electronic Industry Citizenship Coalition, Incorporated and Global e-Sustainability Initiative. All rights reserved.</v>
      </c>
      <c r="B79" s="257"/>
      <c r="C79" s="257"/>
      <c r="D79" s="257"/>
      <c r="E79" s="257"/>
      <c r="F79" s="257"/>
      <c r="G79" s="257"/>
      <c r="H79" s="257"/>
      <c r="I79" s="257"/>
      <c r="J79" s="257"/>
      <c r="K79" s="106"/>
    </row>
    <row r="80" spans="1:13" ht="13.5" thickTop="1">
      <c r="G80" s="187" t="s">
        <v>670</v>
      </c>
    </row>
    <row r="81" spans="2:18" ht="12.75" hidden="1" customHeight="1">
      <c r="B81" s="95" t="s">
        <v>2207</v>
      </c>
      <c r="C81" s="95" t="s">
        <v>2208</v>
      </c>
      <c r="D81" s="95" t="s">
        <v>2209</v>
      </c>
      <c r="E81" s="95" t="s">
        <v>2210</v>
      </c>
      <c r="F81" s="31" t="s">
        <v>756</v>
      </c>
      <c r="G81" s="31" t="s">
        <v>757</v>
      </c>
      <c r="H81" s="31" t="s">
        <v>758</v>
      </c>
      <c r="I81" s="31" t="s">
        <v>454</v>
      </c>
      <c r="J81" s="262" t="s">
        <v>2215</v>
      </c>
      <c r="K81" s="263"/>
      <c r="L81" s="263"/>
      <c r="M81" s="263"/>
      <c r="O81" s="27"/>
      <c r="R81" s="76"/>
    </row>
    <row r="82" spans="2:18" hidden="1">
      <c r="B82" s="164" t="s">
        <v>1269</v>
      </c>
      <c r="C82" s="164" t="s">
        <v>2214</v>
      </c>
      <c r="D82" s="164" t="s">
        <v>2267</v>
      </c>
      <c r="E82" s="164" t="s">
        <v>515</v>
      </c>
      <c r="F82" s="164" t="s">
        <v>1803</v>
      </c>
      <c r="G82" s="164" t="s">
        <v>1804</v>
      </c>
      <c r="H82" s="164" t="s">
        <v>830</v>
      </c>
      <c r="I82" s="164" t="s">
        <v>570</v>
      </c>
      <c r="J82" s="96" t="s">
        <v>2207</v>
      </c>
      <c r="K82" s="96" t="s">
        <v>2208</v>
      </c>
      <c r="L82" s="96" t="s">
        <v>2209</v>
      </c>
      <c r="M82" s="96" t="s">
        <v>2210</v>
      </c>
      <c r="N82" s="31" t="s">
        <v>756</v>
      </c>
      <c r="O82" s="31" t="s">
        <v>757</v>
      </c>
      <c r="P82" s="31" t="s">
        <v>758</v>
      </c>
      <c r="Q82" s="31" t="s">
        <v>454</v>
      </c>
      <c r="R82" s="76"/>
    </row>
    <row r="83" spans="2:18" hidden="1">
      <c r="B83" s="59"/>
      <c r="C83" s="59"/>
      <c r="D83" s="59"/>
      <c r="E83" s="59"/>
      <c r="F83" s="59"/>
      <c r="G83" s="59"/>
      <c r="H83" s="59"/>
      <c r="I83" s="59"/>
      <c r="J83" s="168" t="s">
        <v>1259</v>
      </c>
      <c r="K83" s="168" t="s">
        <v>2216</v>
      </c>
      <c r="L83" s="168" t="s">
        <v>2269</v>
      </c>
      <c r="M83" s="168" t="s">
        <v>2249</v>
      </c>
      <c r="N83" s="168" t="s">
        <v>1154</v>
      </c>
      <c r="O83" s="168" t="s">
        <v>1155</v>
      </c>
      <c r="P83" s="168" t="s">
        <v>1156</v>
      </c>
      <c r="Q83" s="168" t="s">
        <v>1157</v>
      </c>
      <c r="R83" s="76"/>
    </row>
    <row r="84" spans="2:18" hidden="1">
      <c r="B84" s="164" t="s">
        <v>1273</v>
      </c>
      <c r="C84" s="164" t="s">
        <v>1805</v>
      </c>
      <c r="D84" s="164" t="s">
        <v>2268</v>
      </c>
      <c r="E84" s="164" t="s">
        <v>2242</v>
      </c>
      <c r="F84" s="164" t="s">
        <v>1806</v>
      </c>
      <c r="G84" s="164" t="s">
        <v>1807</v>
      </c>
      <c r="H84" s="164" t="s">
        <v>831</v>
      </c>
      <c r="I84" s="164" t="s">
        <v>571</v>
      </c>
      <c r="J84" s="59" t="s">
        <v>1753</v>
      </c>
      <c r="K84" s="59" t="s">
        <v>1179</v>
      </c>
      <c r="L84" s="59" t="s">
        <v>1180</v>
      </c>
      <c r="M84" s="59" t="s">
        <v>1181</v>
      </c>
      <c r="N84" s="27" t="s">
        <v>1753</v>
      </c>
      <c r="O84" s="27" t="s">
        <v>1182</v>
      </c>
      <c r="P84" s="27" t="s">
        <v>1183</v>
      </c>
      <c r="Q84" s="27" t="s">
        <v>1178</v>
      </c>
      <c r="R84" s="76"/>
    </row>
    <row r="85" spans="2:18" hidden="1">
      <c r="B85" s="59"/>
      <c r="C85" s="59"/>
      <c r="D85" s="59"/>
      <c r="E85" s="59"/>
      <c r="F85" s="59"/>
      <c r="G85" s="59"/>
      <c r="H85" s="59"/>
      <c r="I85" s="59"/>
      <c r="J85" s="169" t="s">
        <v>1258</v>
      </c>
      <c r="K85" s="169" t="s">
        <v>2217</v>
      </c>
      <c r="L85" s="169" t="s">
        <v>2270</v>
      </c>
      <c r="M85" s="169" t="s">
        <v>1158</v>
      </c>
      <c r="N85" s="169" t="s">
        <v>1159</v>
      </c>
      <c r="O85" s="169" t="s">
        <v>1160</v>
      </c>
      <c r="P85" s="169" t="s">
        <v>1161</v>
      </c>
      <c r="Q85" s="169" t="s">
        <v>1162</v>
      </c>
      <c r="R85" s="76"/>
    </row>
    <row r="86" spans="2:18" hidden="1">
      <c r="B86" s="164" t="s">
        <v>1274</v>
      </c>
      <c r="C86" s="164" t="s">
        <v>2211</v>
      </c>
      <c r="D86" s="164" t="s">
        <v>2272</v>
      </c>
      <c r="E86" s="164" t="s">
        <v>2243</v>
      </c>
      <c r="F86" s="164" t="s">
        <v>1808</v>
      </c>
      <c r="G86" s="164" t="s">
        <v>933</v>
      </c>
      <c r="H86" s="164" t="s">
        <v>832</v>
      </c>
      <c r="I86" s="82" t="s">
        <v>192</v>
      </c>
      <c r="J86" s="82" t="s">
        <v>1263</v>
      </c>
      <c r="K86" s="164" t="s">
        <v>2218</v>
      </c>
      <c r="L86" s="164" t="s">
        <v>2283</v>
      </c>
      <c r="M86" s="164" t="s">
        <v>2250</v>
      </c>
      <c r="N86" s="164" t="s">
        <v>1167</v>
      </c>
      <c r="O86" s="164" t="s">
        <v>1168</v>
      </c>
      <c r="P86" s="82" t="s">
        <v>228</v>
      </c>
      <c r="Q86" s="164" t="s">
        <v>1169</v>
      </c>
      <c r="R86" s="76"/>
    </row>
    <row r="87" spans="2:18" hidden="1">
      <c r="B87" s="59" t="s">
        <v>1751</v>
      </c>
      <c r="C87" s="59" t="s">
        <v>1144</v>
      </c>
      <c r="D87" s="59" t="s">
        <v>1145</v>
      </c>
      <c r="E87" s="59" t="s">
        <v>1146</v>
      </c>
      <c r="F87" s="83" t="s">
        <v>208</v>
      </c>
      <c r="G87" s="59" t="s">
        <v>1143</v>
      </c>
      <c r="H87" s="83" t="s">
        <v>833</v>
      </c>
      <c r="I87" s="59" t="s">
        <v>1147</v>
      </c>
      <c r="J87" s="164" t="s">
        <v>1264</v>
      </c>
      <c r="K87" s="164" t="s">
        <v>2219</v>
      </c>
      <c r="L87" s="164" t="s">
        <v>2284</v>
      </c>
      <c r="M87" s="164" t="s">
        <v>2251</v>
      </c>
      <c r="N87" s="164" t="s">
        <v>1170</v>
      </c>
      <c r="O87" s="164" t="s">
        <v>1171</v>
      </c>
      <c r="P87" s="82" t="s">
        <v>229</v>
      </c>
      <c r="Q87" s="164" t="s">
        <v>1172</v>
      </c>
      <c r="R87" s="76"/>
    </row>
    <row r="88" spans="2:18" hidden="1">
      <c r="B88" s="164" t="s">
        <v>1260</v>
      </c>
      <c r="C88" s="164" t="s">
        <v>934</v>
      </c>
      <c r="D88" s="164" t="s">
        <v>2273</v>
      </c>
      <c r="E88" s="164" t="s">
        <v>2244</v>
      </c>
      <c r="F88" s="164" t="s">
        <v>935</v>
      </c>
      <c r="G88" s="164" t="s">
        <v>936</v>
      </c>
      <c r="H88" s="164" t="s">
        <v>937</v>
      </c>
      <c r="I88" s="164" t="s">
        <v>572</v>
      </c>
      <c r="J88" s="164" t="s">
        <v>1265</v>
      </c>
      <c r="K88" s="164" t="s">
        <v>2220</v>
      </c>
      <c r="L88" s="164" t="s">
        <v>2285</v>
      </c>
      <c r="M88" s="164" t="s">
        <v>2252</v>
      </c>
      <c r="N88" s="164" t="s">
        <v>1173</v>
      </c>
      <c r="O88" s="164" t="s">
        <v>1174</v>
      </c>
      <c r="P88" s="82" t="s">
        <v>1265</v>
      </c>
      <c r="Q88" s="164" t="s">
        <v>1175</v>
      </c>
      <c r="R88" s="76"/>
    </row>
    <row r="89" spans="2:18" hidden="1">
      <c r="B89" s="164" t="s">
        <v>2099</v>
      </c>
      <c r="C89" s="164" t="s">
        <v>938</v>
      </c>
      <c r="D89" s="164" t="s">
        <v>939</v>
      </c>
      <c r="E89" s="82" t="s">
        <v>846</v>
      </c>
      <c r="F89" s="164" t="s">
        <v>940</v>
      </c>
      <c r="G89" s="164" t="s">
        <v>941</v>
      </c>
      <c r="H89" s="164" t="s">
        <v>942</v>
      </c>
      <c r="I89" s="164" t="s">
        <v>573</v>
      </c>
      <c r="J89" s="164" t="s">
        <v>1266</v>
      </c>
      <c r="K89" s="164" t="s">
        <v>2221</v>
      </c>
      <c r="L89" s="164" t="s">
        <v>2286</v>
      </c>
      <c r="M89" s="164" t="s">
        <v>2253</v>
      </c>
      <c r="N89" s="82" t="s">
        <v>845</v>
      </c>
      <c r="O89" s="164" t="s">
        <v>1176</v>
      </c>
      <c r="P89" s="82" t="s">
        <v>230</v>
      </c>
      <c r="Q89" s="164" t="s">
        <v>1177</v>
      </c>
      <c r="R89" s="76"/>
    </row>
    <row r="90" spans="2:18" hidden="1">
      <c r="B90" s="164" t="str">
        <f>IF(N12=0,"Description of Scope:",IF(N12=1,"Description of Scope: (*)",IF(N12=2,"Go to Product List tab to enter products this declaration applies to")))</f>
        <v>Description of Scope:</v>
      </c>
      <c r="C90" s="164" t="str">
        <f>IF(N12=0,"范围描述：",IF(N12=1,"范围描述 (*):",IF(N12=2,"转到产品目录“选项卡进入本声明适用于产品")))</f>
        <v>范围描述：</v>
      </c>
      <c r="D90" s="164" t="str">
        <f>IF(N12=0,"範囲の説明：",IF(N12=1,"範囲の説明 (*):",IF(N12=2,"この宣言に適用される製品を入力するには製品一覧]タブに移動します")))</f>
        <v>範囲の説明：</v>
      </c>
      <c r="E90" s="164" t="str">
        <f>IF(N12=0,"선언범위 설명란:",IF(N12=1,"선언범위 설명란 (*):",IF(N12=2,"이 선언은 적용 제품를 입력하도록 제품리스트 탭으로 이동")))</f>
        <v>선언범위 설명란:</v>
      </c>
      <c r="F90" s="164" t="str">
        <f>IF(N12=0,"Description du périmètre:",IF(N12=1,"Description du périmètre (*):",IF(N12=2,"Allez à l'onglet Liste des produits d'entrer les produits de cette déclaration est valable pour")))</f>
        <v>Description du périmètre:</v>
      </c>
      <c r="G90" s="164" t="str">
        <f>IF(N12=0,"Descrição dos Escopo:",IF(N12=1,"Descrição dos Escopo(*):",IF(N12=2,"Vá para a guia Lista de Produtos para entrar produtos desta declaração se aplica")))</f>
        <v>Descrição dos Escopo:</v>
      </c>
      <c r="H90" s="164" t="str">
        <f>IF(N12=0,"Beschreibung des Erklärungsbereiches:",IF(N12=1,"Beschreibung des Erklärungsbereiches (*):",IF(N12=2,"Wechseln Sie zum Reiter „Product List“ und geben dort die Produkte ein, für die diese Erklärung gilt.")))</f>
        <v>Beschreibung des Erklärungsbereiches:</v>
      </c>
      <c r="I90" s="164" t="str">
        <f>IF(N12=0,"Descripcion del alcance:",IF(N12=1,"Descripcion del alcance (*):",IF(N12=2,"Ir a la ficha del producto para entrar en la lista de los productos de esta declaración se aplica a")))</f>
        <v>Descripcion del alcance:</v>
      </c>
      <c r="J90" s="164" t="s">
        <v>2314</v>
      </c>
      <c r="K90" s="164" t="s">
        <v>2222</v>
      </c>
      <c r="L90" s="164" t="s">
        <v>2271</v>
      </c>
      <c r="M90" s="164" t="s">
        <v>1163</v>
      </c>
      <c r="N90" s="164" t="s">
        <v>1164</v>
      </c>
      <c r="O90" s="164" t="s">
        <v>1165</v>
      </c>
      <c r="P90" s="164" t="s">
        <v>866</v>
      </c>
      <c r="Q90" s="164" t="s">
        <v>1166</v>
      </c>
      <c r="R90" s="76"/>
    </row>
    <row r="91" spans="2:18" hidden="1">
      <c r="B91" s="164" t="s">
        <v>1261</v>
      </c>
      <c r="C91" s="164" t="s">
        <v>943</v>
      </c>
      <c r="D91" s="164" t="s">
        <v>2274</v>
      </c>
      <c r="E91" s="164" t="s">
        <v>2245</v>
      </c>
      <c r="F91" s="82" t="s">
        <v>849</v>
      </c>
      <c r="G91" s="164" t="s">
        <v>944</v>
      </c>
      <c r="H91" s="164" t="s">
        <v>834</v>
      </c>
      <c r="I91" s="164" t="s">
        <v>574</v>
      </c>
      <c r="J91" s="59"/>
      <c r="K91" s="59"/>
      <c r="L91" s="59"/>
      <c r="M91" s="59"/>
      <c r="O91" s="27"/>
      <c r="R91" s="76"/>
    </row>
    <row r="92" spans="2:18" hidden="1">
      <c r="B92" s="164" t="s">
        <v>2315</v>
      </c>
      <c r="C92" s="164" t="s">
        <v>945</v>
      </c>
      <c r="D92" s="164" t="s">
        <v>2275</v>
      </c>
      <c r="E92" s="164" t="s">
        <v>2246</v>
      </c>
      <c r="F92" s="82" t="s">
        <v>946</v>
      </c>
      <c r="G92" s="82" t="s">
        <v>855</v>
      </c>
      <c r="H92" s="164" t="s">
        <v>946</v>
      </c>
      <c r="I92" s="164" t="s">
        <v>575</v>
      </c>
      <c r="J92" s="59"/>
      <c r="K92" s="59"/>
      <c r="L92" s="59"/>
      <c r="M92" s="59"/>
      <c r="O92" s="27"/>
      <c r="R92" s="76"/>
    </row>
    <row r="93" spans="2:18" hidden="1">
      <c r="B93" s="164" t="s">
        <v>2111</v>
      </c>
      <c r="C93" s="164" t="s">
        <v>947</v>
      </c>
      <c r="D93" s="164" t="s">
        <v>948</v>
      </c>
      <c r="E93" s="164" t="s">
        <v>949</v>
      </c>
      <c r="F93" s="82" t="s">
        <v>850</v>
      </c>
      <c r="G93" s="164" t="s">
        <v>950</v>
      </c>
      <c r="H93" s="164" t="s">
        <v>951</v>
      </c>
      <c r="I93" s="164" t="s">
        <v>576</v>
      </c>
      <c r="J93" s="59"/>
      <c r="K93" s="59"/>
      <c r="L93" s="59"/>
      <c r="M93" s="59"/>
      <c r="O93" s="27"/>
      <c r="R93" s="76"/>
    </row>
    <row r="94" spans="2:18" hidden="1">
      <c r="B94" s="164" t="s">
        <v>2212</v>
      </c>
      <c r="C94" s="164" t="s">
        <v>952</v>
      </c>
      <c r="D94" s="164" t="s">
        <v>2276</v>
      </c>
      <c r="E94" s="82" t="s">
        <v>847</v>
      </c>
      <c r="F94" s="82" t="s">
        <v>851</v>
      </c>
      <c r="G94" s="164" t="s">
        <v>953</v>
      </c>
      <c r="H94" s="164" t="s">
        <v>954</v>
      </c>
      <c r="I94" s="164" t="s">
        <v>1130</v>
      </c>
      <c r="J94" s="59"/>
      <c r="K94" s="59"/>
      <c r="L94" s="59"/>
      <c r="M94" s="59"/>
      <c r="O94" s="27"/>
      <c r="R94" s="76"/>
    </row>
    <row r="95" spans="2:18" hidden="1">
      <c r="B95" s="164" t="s">
        <v>1262</v>
      </c>
      <c r="C95" s="164" t="s">
        <v>955</v>
      </c>
      <c r="D95" s="164" t="s">
        <v>2277</v>
      </c>
      <c r="E95" s="82" t="s">
        <v>2247</v>
      </c>
      <c r="F95" s="82" t="s">
        <v>852</v>
      </c>
      <c r="G95" s="164" t="s">
        <v>956</v>
      </c>
      <c r="H95" s="164" t="s">
        <v>957</v>
      </c>
      <c r="I95" s="164" t="s">
        <v>1131</v>
      </c>
      <c r="J95" s="59"/>
      <c r="K95" s="59"/>
      <c r="L95" s="59"/>
      <c r="M95" s="59"/>
      <c r="O95" s="27"/>
      <c r="R95" s="76"/>
    </row>
    <row r="96" spans="2:18" hidden="1">
      <c r="B96" s="164" t="s">
        <v>1316</v>
      </c>
      <c r="C96" s="164" t="s">
        <v>958</v>
      </c>
      <c r="D96" s="164" t="s">
        <v>2278</v>
      </c>
      <c r="E96" s="82" t="s">
        <v>2248</v>
      </c>
      <c r="F96" s="82" t="s">
        <v>853</v>
      </c>
      <c r="G96" s="164" t="s">
        <v>959</v>
      </c>
      <c r="H96" s="164" t="s">
        <v>960</v>
      </c>
      <c r="I96" s="164" t="s">
        <v>1132</v>
      </c>
      <c r="J96" s="59"/>
      <c r="K96" s="59"/>
      <c r="L96" s="59"/>
      <c r="M96" s="59"/>
      <c r="O96" s="27"/>
      <c r="R96" s="76"/>
    </row>
    <row r="97" spans="2:18" hidden="1">
      <c r="B97" s="82" t="s">
        <v>2213</v>
      </c>
      <c r="C97" s="82" t="s">
        <v>961</v>
      </c>
      <c r="D97" s="164" t="s">
        <v>2279</v>
      </c>
      <c r="E97" s="82" t="s">
        <v>848</v>
      </c>
      <c r="F97" s="82" t="s">
        <v>854</v>
      </c>
      <c r="G97" s="164" t="s">
        <v>962</v>
      </c>
      <c r="H97" s="164" t="s">
        <v>835</v>
      </c>
      <c r="I97" s="164" t="s">
        <v>1133</v>
      </c>
      <c r="J97" s="59"/>
      <c r="K97" s="59"/>
      <c r="L97" s="59"/>
      <c r="M97" s="59"/>
      <c r="O97" s="27"/>
      <c r="R97" s="76"/>
    </row>
    <row r="98" spans="2:18" hidden="1">
      <c r="B98" s="164" t="s">
        <v>1377</v>
      </c>
      <c r="C98" s="164" t="s">
        <v>963</v>
      </c>
      <c r="D98" s="164" t="s">
        <v>964</v>
      </c>
      <c r="E98" s="164" t="s">
        <v>965</v>
      </c>
      <c r="F98" s="164" t="s">
        <v>966</v>
      </c>
      <c r="G98" s="164" t="s">
        <v>967</v>
      </c>
      <c r="H98" s="164" t="s">
        <v>836</v>
      </c>
      <c r="I98" s="164" t="s">
        <v>1134</v>
      </c>
      <c r="J98" s="59"/>
      <c r="K98" s="59"/>
      <c r="L98" s="59"/>
      <c r="M98" s="59"/>
      <c r="O98" s="27"/>
      <c r="R98" s="76"/>
    </row>
    <row r="99" spans="2:18" hidden="1">
      <c r="B99" s="164" t="s">
        <v>2204</v>
      </c>
      <c r="C99" s="164" t="s">
        <v>804</v>
      </c>
      <c r="D99" s="164" t="s">
        <v>2280</v>
      </c>
      <c r="E99" s="164" t="s">
        <v>2293</v>
      </c>
      <c r="F99" s="164" t="s">
        <v>968</v>
      </c>
      <c r="G99" s="164" t="s">
        <v>969</v>
      </c>
      <c r="H99" s="164" t="s">
        <v>837</v>
      </c>
      <c r="I99" s="164" t="s">
        <v>1135</v>
      </c>
      <c r="J99" s="59"/>
      <c r="K99" s="59"/>
      <c r="L99" s="59"/>
      <c r="M99" s="59"/>
      <c r="O99" s="27"/>
      <c r="R99" s="76"/>
    </row>
    <row r="100" spans="2:18" hidden="1">
      <c r="B100" s="164" t="s">
        <v>1373</v>
      </c>
      <c r="C100" s="164" t="s">
        <v>970</v>
      </c>
      <c r="D100" s="164" t="s">
        <v>1374</v>
      </c>
      <c r="E100" s="164" t="s">
        <v>971</v>
      </c>
      <c r="F100" s="164" t="s">
        <v>807</v>
      </c>
      <c r="G100" s="164" t="s">
        <v>972</v>
      </c>
      <c r="H100" s="164" t="s">
        <v>838</v>
      </c>
      <c r="I100" s="164" t="s">
        <v>1136</v>
      </c>
      <c r="J100" s="59"/>
      <c r="K100" s="59"/>
      <c r="L100" s="59"/>
      <c r="M100" s="59"/>
      <c r="O100" s="27"/>
      <c r="R100" s="76"/>
    </row>
    <row r="101" spans="2:18" hidden="1">
      <c r="B101" s="164" t="s">
        <v>1375</v>
      </c>
      <c r="C101" s="164" t="s">
        <v>980</v>
      </c>
      <c r="D101" s="164" t="s">
        <v>1376</v>
      </c>
      <c r="E101" s="164" t="s">
        <v>981</v>
      </c>
      <c r="F101" s="164" t="s">
        <v>806</v>
      </c>
      <c r="G101" s="164" t="s">
        <v>982</v>
      </c>
      <c r="H101" s="164" t="s">
        <v>839</v>
      </c>
      <c r="I101" s="164" t="s">
        <v>1137</v>
      </c>
      <c r="J101" s="59"/>
      <c r="K101" s="59"/>
      <c r="L101" s="59"/>
      <c r="M101" s="59"/>
      <c r="O101" s="27"/>
      <c r="R101" s="76"/>
    </row>
    <row r="102" spans="2:18" hidden="1">
      <c r="B102" s="164" t="s">
        <v>1378</v>
      </c>
      <c r="C102" s="164" t="s">
        <v>983</v>
      </c>
      <c r="D102" s="164" t="s">
        <v>984</v>
      </c>
      <c r="E102" s="164" t="s">
        <v>516</v>
      </c>
      <c r="F102" s="164" t="s">
        <v>985</v>
      </c>
      <c r="G102" s="164" t="s">
        <v>986</v>
      </c>
      <c r="H102" s="164" t="s">
        <v>840</v>
      </c>
      <c r="I102" s="164" t="s">
        <v>1138</v>
      </c>
      <c r="J102" s="59"/>
      <c r="K102" s="59"/>
      <c r="L102" s="59"/>
      <c r="M102" s="59"/>
      <c r="O102" s="27"/>
      <c r="R102" s="76"/>
    </row>
    <row r="103" spans="2:18" hidden="1">
      <c r="B103" s="164" t="s">
        <v>1379</v>
      </c>
      <c r="C103" s="164" t="s">
        <v>815</v>
      </c>
      <c r="D103" s="164" t="s">
        <v>987</v>
      </c>
      <c r="E103" s="164" t="s">
        <v>988</v>
      </c>
      <c r="F103" s="164" t="s">
        <v>989</v>
      </c>
      <c r="G103" s="164" t="s">
        <v>990</v>
      </c>
      <c r="H103" s="164" t="s">
        <v>1724</v>
      </c>
      <c r="I103" s="164" t="s">
        <v>1139</v>
      </c>
      <c r="J103" s="59"/>
      <c r="K103" s="59"/>
      <c r="L103" s="59"/>
      <c r="M103" s="59"/>
      <c r="O103" s="27"/>
      <c r="R103" s="76"/>
    </row>
    <row r="104" spans="2:18" hidden="1">
      <c r="B104" s="164" t="s">
        <v>2184</v>
      </c>
      <c r="C104" s="164" t="s">
        <v>991</v>
      </c>
      <c r="D104" s="164" t="s">
        <v>805</v>
      </c>
      <c r="E104" s="164" t="s">
        <v>517</v>
      </c>
      <c r="F104" s="164" t="s">
        <v>992</v>
      </c>
      <c r="G104" s="164" t="s">
        <v>993</v>
      </c>
      <c r="H104" s="164" t="s">
        <v>1725</v>
      </c>
      <c r="I104" s="164" t="s">
        <v>577</v>
      </c>
      <c r="J104" s="59"/>
      <c r="K104" s="59"/>
      <c r="L104" s="59"/>
      <c r="M104" s="59"/>
      <c r="O104" s="27"/>
      <c r="R104" s="76"/>
    </row>
    <row r="105" spans="2:18" hidden="1">
      <c r="B105" s="164" t="s">
        <v>1752</v>
      </c>
      <c r="C105" s="164" t="s">
        <v>1148</v>
      </c>
      <c r="D105" s="164" t="s">
        <v>1149</v>
      </c>
      <c r="E105" s="164" t="s">
        <v>1150</v>
      </c>
      <c r="F105" s="164" t="s">
        <v>1151</v>
      </c>
      <c r="G105" s="164" t="s">
        <v>1152</v>
      </c>
      <c r="H105" s="164" t="s">
        <v>1726</v>
      </c>
      <c r="I105" s="164" t="s">
        <v>1153</v>
      </c>
      <c r="J105" s="59"/>
      <c r="K105" s="59"/>
      <c r="L105" s="59"/>
      <c r="M105" s="59"/>
      <c r="O105" s="27"/>
      <c r="R105" s="76"/>
    </row>
    <row r="106" spans="2:18" hidden="1">
      <c r="B106" s="83" t="s">
        <v>1270</v>
      </c>
      <c r="C106" s="83" t="s">
        <v>231</v>
      </c>
      <c r="D106" s="83" t="s">
        <v>1823</v>
      </c>
      <c r="E106" s="83" t="s">
        <v>994</v>
      </c>
      <c r="F106" s="83" t="s">
        <v>995</v>
      </c>
      <c r="G106" s="83" t="s">
        <v>996</v>
      </c>
      <c r="H106" s="83" t="s">
        <v>856</v>
      </c>
      <c r="I106" s="83" t="s">
        <v>578</v>
      </c>
      <c r="J106" s="59"/>
      <c r="K106" s="59"/>
      <c r="L106" s="59"/>
      <c r="M106" s="59"/>
      <c r="O106" s="27"/>
      <c r="R106" s="76"/>
    </row>
    <row r="107" spans="2:18" hidden="1">
      <c r="B107" s="83" t="s">
        <v>1271</v>
      </c>
      <c r="C107" s="83" t="s">
        <v>232</v>
      </c>
      <c r="D107" s="83" t="s">
        <v>2281</v>
      </c>
      <c r="E107" s="83" t="s">
        <v>997</v>
      </c>
      <c r="F107" s="83" t="s">
        <v>998</v>
      </c>
      <c r="G107" s="83" t="s">
        <v>999</v>
      </c>
      <c r="H107" s="83" t="s">
        <v>857</v>
      </c>
      <c r="I107" s="83" t="s">
        <v>579</v>
      </c>
      <c r="J107" s="59"/>
      <c r="K107" s="59"/>
      <c r="L107" s="59"/>
      <c r="M107" s="59"/>
      <c r="O107" s="27"/>
      <c r="R107" s="76"/>
    </row>
    <row r="108" spans="2:18" hidden="1">
      <c r="B108" s="83" t="s">
        <v>1272</v>
      </c>
      <c r="C108" s="83" t="s">
        <v>233</v>
      </c>
      <c r="D108" s="83" t="s">
        <v>2282</v>
      </c>
      <c r="E108" s="83" t="s">
        <v>2257</v>
      </c>
      <c r="F108" s="83" t="s">
        <v>1000</v>
      </c>
      <c r="G108" s="83" t="s">
        <v>1001</v>
      </c>
      <c r="H108" s="83" t="s">
        <v>858</v>
      </c>
      <c r="I108" s="83" t="s">
        <v>193</v>
      </c>
      <c r="J108" s="59"/>
      <c r="K108" s="59"/>
      <c r="L108" s="59"/>
      <c r="M108" s="59"/>
      <c r="O108" s="27"/>
      <c r="R108" s="76"/>
    </row>
    <row r="109" spans="2:18" hidden="1">
      <c r="B109" s="83" t="s">
        <v>1380</v>
      </c>
      <c r="C109" s="83" t="s">
        <v>234</v>
      </c>
      <c r="D109" s="83" t="s">
        <v>241</v>
      </c>
      <c r="E109" s="83" t="s">
        <v>518</v>
      </c>
      <c r="F109" s="83" t="s">
        <v>429</v>
      </c>
      <c r="G109" s="83" t="s">
        <v>242</v>
      </c>
      <c r="H109" s="83" t="s">
        <v>859</v>
      </c>
      <c r="I109" s="83" t="s">
        <v>194</v>
      </c>
      <c r="J109" s="59"/>
      <c r="K109" s="59"/>
      <c r="L109" s="59"/>
      <c r="M109" s="59"/>
      <c r="O109" s="27"/>
      <c r="R109" s="76"/>
    </row>
    <row r="110" spans="2:18" hidden="1">
      <c r="B110" s="83" t="s">
        <v>1381</v>
      </c>
      <c r="C110" s="83" t="s">
        <v>235</v>
      </c>
      <c r="D110" s="83" t="s">
        <v>430</v>
      </c>
      <c r="E110" s="83" t="s">
        <v>519</v>
      </c>
      <c r="F110" s="83" t="s">
        <v>431</v>
      </c>
      <c r="G110" s="83" t="s">
        <v>432</v>
      </c>
      <c r="H110" s="83" t="s">
        <v>860</v>
      </c>
      <c r="I110" s="83" t="s">
        <v>580</v>
      </c>
      <c r="J110" s="59"/>
      <c r="K110" s="59"/>
      <c r="L110" s="59"/>
      <c r="M110" s="59"/>
      <c r="O110" s="27"/>
      <c r="R110" s="76"/>
    </row>
    <row r="111" spans="2:18" hidden="1">
      <c r="B111" s="83" t="s">
        <v>1372</v>
      </c>
      <c r="C111" s="83" t="s">
        <v>236</v>
      </c>
      <c r="D111" s="83" t="s">
        <v>433</v>
      </c>
      <c r="E111" s="83" t="s">
        <v>520</v>
      </c>
      <c r="F111" s="83" t="s">
        <v>434</v>
      </c>
      <c r="G111" s="83" t="s">
        <v>435</v>
      </c>
      <c r="H111" s="83" t="s">
        <v>861</v>
      </c>
      <c r="I111" s="83" t="s">
        <v>581</v>
      </c>
      <c r="J111" s="59"/>
      <c r="K111" s="59"/>
      <c r="L111" s="59"/>
      <c r="M111" s="59"/>
      <c r="O111" s="27"/>
      <c r="R111" s="76"/>
    </row>
    <row r="112" spans="2:18" hidden="1">
      <c r="B112" s="83" t="s">
        <v>1671</v>
      </c>
      <c r="C112" s="83" t="s">
        <v>237</v>
      </c>
      <c r="D112" s="83" t="s">
        <v>436</v>
      </c>
      <c r="E112" s="83" t="s">
        <v>437</v>
      </c>
      <c r="F112" s="83" t="s">
        <v>438</v>
      </c>
      <c r="G112" s="83" t="s">
        <v>439</v>
      </c>
      <c r="H112" s="83" t="s">
        <v>862</v>
      </c>
      <c r="I112" s="83" t="s">
        <v>582</v>
      </c>
      <c r="J112" s="59"/>
      <c r="K112" s="59"/>
      <c r="L112" s="59"/>
      <c r="M112" s="59"/>
      <c r="O112" s="27"/>
      <c r="R112" s="76"/>
    </row>
    <row r="113" spans="2:18" hidden="1">
      <c r="B113" s="83" t="s">
        <v>1382</v>
      </c>
      <c r="C113" s="83" t="s">
        <v>238</v>
      </c>
      <c r="D113" s="83" t="s">
        <v>440</v>
      </c>
      <c r="E113" s="83" t="s">
        <v>521</v>
      </c>
      <c r="F113" s="83" t="s">
        <v>441</v>
      </c>
      <c r="G113" s="83" t="s">
        <v>442</v>
      </c>
      <c r="H113" s="83" t="s">
        <v>863</v>
      </c>
      <c r="I113" s="83" t="s">
        <v>1140</v>
      </c>
      <c r="J113" s="59"/>
      <c r="K113" s="59"/>
      <c r="L113" s="59"/>
      <c r="M113" s="59"/>
      <c r="O113" s="27"/>
      <c r="R113" s="76"/>
    </row>
    <row r="114" spans="2:18" hidden="1">
      <c r="B114" s="83" t="s">
        <v>1672</v>
      </c>
      <c r="C114" s="83" t="s">
        <v>239</v>
      </c>
      <c r="D114" s="83" t="s">
        <v>443</v>
      </c>
      <c r="E114" s="83" t="s">
        <v>444</v>
      </c>
      <c r="F114" s="83" t="s">
        <v>445</v>
      </c>
      <c r="G114" s="83" t="s">
        <v>446</v>
      </c>
      <c r="H114" s="83" t="s">
        <v>864</v>
      </c>
      <c r="I114" s="83" t="s">
        <v>1141</v>
      </c>
      <c r="J114" s="59"/>
      <c r="K114" s="59"/>
      <c r="L114" s="59"/>
      <c r="M114" s="59"/>
      <c r="O114" s="27"/>
      <c r="R114" s="76"/>
    </row>
    <row r="115" spans="2:18" hidden="1">
      <c r="B115" s="83" t="s">
        <v>1673</v>
      </c>
      <c r="C115" s="83" t="s">
        <v>240</v>
      </c>
      <c r="D115" s="83" t="s">
        <v>447</v>
      </c>
      <c r="E115" s="83" t="s">
        <v>522</v>
      </c>
      <c r="F115" s="83" t="s">
        <v>448</v>
      </c>
      <c r="G115" s="83" t="s">
        <v>449</v>
      </c>
      <c r="H115" s="83" t="s">
        <v>865</v>
      </c>
      <c r="I115" s="83" t="s">
        <v>1142</v>
      </c>
      <c r="J115" s="59"/>
      <c r="K115" s="59"/>
      <c r="L115" s="59"/>
      <c r="M115" s="59"/>
      <c r="O115" s="27"/>
      <c r="R115" s="76"/>
    </row>
    <row r="116" spans="2:18" hidden="1">
      <c r="B116" s="166" t="s">
        <v>2183</v>
      </c>
      <c r="C116" s="166" t="s">
        <v>759</v>
      </c>
      <c r="D116" s="166" t="s">
        <v>2183</v>
      </c>
      <c r="E116" s="166" t="s">
        <v>2183</v>
      </c>
      <c r="F116" s="166" t="s">
        <v>760</v>
      </c>
      <c r="G116" s="166" t="s">
        <v>761</v>
      </c>
      <c r="H116" s="166" t="s">
        <v>2183</v>
      </c>
      <c r="I116" s="166" t="s">
        <v>534</v>
      </c>
      <c r="J116" s="59"/>
      <c r="K116" s="76"/>
      <c r="L116" s="76"/>
      <c r="M116" s="76"/>
      <c r="O116" s="27"/>
      <c r="R116" s="76"/>
    </row>
    <row r="117" spans="2:18" hidden="1">
      <c r="B117" s="83" t="s">
        <v>2223</v>
      </c>
      <c r="C117" s="59"/>
      <c r="D117" s="59"/>
      <c r="E117" s="59"/>
      <c r="F117" s="59"/>
      <c r="G117" s="59"/>
      <c r="H117" s="59"/>
      <c r="I117" s="59"/>
      <c r="J117" s="76"/>
      <c r="O117" s="27"/>
      <c r="R117" s="76"/>
    </row>
    <row r="118" spans="2:18" hidden="1">
      <c r="B118" s="83" t="s">
        <v>2224</v>
      </c>
      <c r="C118" s="59"/>
      <c r="D118" s="59"/>
      <c r="E118" s="59"/>
      <c r="F118" s="59"/>
      <c r="G118" s="59"/>
      <c r="H118" s="59"/>
      <c r="I118" s="59"/>
      <c r="O118" s="27"/>
      <c r="R118" s="76"/>
    </row>
    <row r="119" spans="2:18" hidden="1">
      <c r="B119" s="83" t="s">
        <v>2225</v>
      </c>
      <c r="C119" s="59"/>
      <c r="D119" s="59"/>
      <c r="E119" s="59"/>
      <c r="F119" s="59"/>
      <c r="G119" s="59"/>
      <c r="H119" s="59"/>
      <c r="I119" s="59"/>
      <c r="O119" s="27"/>
      <c r="R119" s="76"/>
    </row>
    <row r="120" spans="2:18" hidden="1">
      <c r="B120" s="83" t="s">
        <v>2226</v>
      </c>
      <c r="C120" s="59"/>
      <c r="D120" s="59"/>
      <c r="E120" s="59"/>
      <c r="F120" s="59"/>
      <c r="G120" s="59"/>
      <c r="H120" s="59"/>
      <c r="I120" s="59"/>
      <c r="O120" s="27"/>
      <c r="R120" s="76"/>
    </row>
    <row r="121" spans="2:18" hidden="1">
      <c r="B121" s="83" t="s">
        <v>1827</v>
      </c>
      <c r="C121" s="107"/>
      <c r="D121" s="107"/>
      <c r="E121" s="107"/>
      <c r="F121" s="107"/>
      <c r="G121" s="107"/>
      <c r="H121" s="107"/>
      <c r="I121" s="76"/>
      <c r="O121" s="27"/>
      <c r="R121" s="76"/>
    </row>
    <row r="122" spans="2:18" hidden="1">
      <c r="O122" s="27"/>
      <c r="R122" s="76"/>
    </row>
    <row r="123" spans="2:18" hidden="1">
      <c r="B123" s="133"/>
      <c r="O123" s="27"/>
      <c r="R123" s="76"/>
    </row>
    <row r="124" spans="2:18" hidden="1">
      <c r="O124" s="27"/>
      <c r="R124" s="76"/>
    </row>
    <row r="125" spans="2:18" hidden="1">
      <c r="R125" s="76"/>
    </row>
    <row r="126" spans="2:18" ht="25.5" hidden="1">
      <c r="B126" s="109" t="s">
        <v>2112</v>
      </c>
      <c r="D126" s="109"/>
      <c r="E126" s="111" t="s">
        <v>2113</v>
      </c>
      <c r="F126" s="111"/>
      <c r="G126" s="111"/>
      <c r="H126" s="111"/>
    </row>
    <row r="127" spans="2:18" hidden="1">
      <c r="B127" s="109" t="s">
        <v>1809</v>
      </c>
      <c r="E127" s="109"/>
      <c r="F127" s="109"/>
      <c r="G127" s="109"/>
      <c r="H127" s="109"/>
    </row>
    <row r="128" spans="2:18" hidden="1">
      <c r="B128" s="109" t="s">
        <v>1810</v>
      </c>
      <c r="E128" s="109"/>
      <c r="F128" s="109"/>
      <c r="G128" s="109"/>
      <c r="H128" s="109"/>
    </row>
    <row r="129" spans="2:8" hidden="1">
      <c r="B129" s="109" t="s">
        <v>1370</v>
      </c>
      <c r="E129" s="109"/>
      <c r="F129" s="109"/>
      <c r="G129" s="109"/>
      <c r="H129" s="109"/>
    </row>
  </sheetData>
  <sheetProtection password="C453" sheet="1" objects="1" scenarios="1"/>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03">
    <mergeCell ref="H51:J51"/>
    <mergeCell ref="D52:E52"/>
    <mergeCell ref="G47:J47"/>
    <mergeCell ref="D36:E36"/>
    <mergeCell ref="D37:E37"/>
    <mergeCell ref="D40:E40"/>
    <mergeCell ref="D55:E55"/>
    <mergeCell ref="G59:J59"/>
    <mergeCell ref="D46:E46"/>
    <mergeCell ref="G55:J55"/>
    <mergeCell ref="D54:E54"/>
    <mergeCell ref="D47:E47"/>
    <mergeCell ref="B57:J57"/>
    <mergeCell ref="G52:J52"/>
    <mergeCell ref="D53:E53"/>
    <mergeCell ref="G54:J54"/>
    <mergeCell ref="G41:J41"/>
    <mergeCell ref="G42:J42"/>
    <mergeCell ref="G43:J43"/>
    <mergeCell ref="G46:J46"/>
    <mergeCell ref="H45:J45"/>
    <mergeCell ref="D41:E41"/>
    <mergeCell ref="G53:J53"/>
    <mergeCell ref="D43:E43"/>
    <mergeCell ref="G49:J49"/>
    <mergeCell ref="A1:K1"/>
    <mergeCell ref="D2:J2"/>
    <mergeCell ref="D8:J8"/>
    <mergeCell ref="D13:J13"/>
    <mergeCell ref="D11:J11"/>
    <mergeCell ref="F3:H3"/>
    <mergeCell ref="B7:J7"/>
    <mergeCell ref="D22:E22"/>
    <mergeCell ref="D23:E23"/>
    <mergeCell ref="D15:J15"/>
    <mergeCell ref="D10:J10"/>
    <mergeCell ref="D9:G9"/>
    <mergeCell ref="G22:J22"/>
    <mergeCell ref="G23:J23"/>
    <mergeCell ref="G24:J24"/>
    <mergeCell ref="L4:L6"/>
    <mergeCell ref="L8:L17"/>
    <mergeCell ref="D12:J12"/>
    <mergeCell ref="D16:J16"/>
    <mergeCell ref="D17:J17"/>
    <mergeCell ref="D14:J14"/>
    <mergeCell ref="B6:J6"/>
    <mergeCell ref="D34:E34"/>
    <mergeCell ref="B20:J20"/>
    <mergeCell ref="G31:J31"/>
    <mergeCell ref="G34:J34"/>
    <mergeCell ref="H26:J26"/>
    <mergeCell ref="D24:E24"/>
    <mergeCell ref="D25:E25"/>
    <mergeCell ref="D28:E28"/>
    <mergeCell ref="D29:E29"/>
    <mergeCell ref="D30:E30"/>
    <mergeCell ref="B10:B11"/>
    <mergeCell ref="B4:H4"/>
    <mergeCell ref="I4:J4"/>
    <mergeCell ref="D18:E18"/>
    <mergeCell ref="G30:J30"/>
    <mergeCell ref="D31:E31"/>
    <mergeCell ref="D19:E19"/>
    <mergeCell ref="G58:I58"/>
    <mergeCell ref="D77:E77"/>
    <mergeCell ref="G60:J60"/>
    <mergeCell ref="G70:J70"/>
    <mergeCell ref="G72:J72"/>
    <mergeCell ref="D61:E61"/>
    <mergeCell ref="D59:E59"/>
    <mergeCell ref="G25:J25"/>
    <mergeCell ref="G28:J28"/>
    <mergeCell ref="G29:J29"/>
    <mergeCell ref="G37:J37"/>
    <mergeCell ref="G36:J36"/>
    <mergeCell ref="D42:E42"/>
    <mergeCell ref="D48:E48"/>
    <mergeCell ref="G40:J40"/>
    <mergeCell ref="D35:E35"/>
    <mergeCell ref="H39:J39"/>
    <mergeCell ref="G35:J35"/>
    <mergeCell ref="G61:J61"/>
    <mergeCell ref="G63:J63"/>
    <mergeCell ref="D67:E67"/>
    <mergeCell ref="D63:E63"/>
    <mergeCell ref="D49:E49"/>
    <mergeCell ref="G48:J48"/>
    <mergeCell ref="A79:J79"/>
    <mergeCell ref="B78:J78"/>
    <mergeCell ref="G73:J73"/>
    <mergeCell ref="G75:J75"/>
    <mergeCell ref="G77:J77"/>
    <mergeCell ref="J81:M81"/>
    <mergeCell ref="G65:J65"/>
    <mergeCell ref="G71:J71"/>
    <mergeCell ref="D75:E75"/>
    <mergeCell ref="D71:E71"/>
    <mergeCell ref="D73:E73"/>
    <mergeCell ref="D69:E69"/>
    <mergeCell ref="D65:E65"/>
    <mergeCell ref="G69:J69"/>
    <mergeCell ref="G67:J67"/>
  </mergeCells>
  <phoneticPr fontId="4" type="noConversion"/>
  <conditionalFormatting sqref="D8">
    <cfRule type="expression" dxfId="304" priority="164">
      <formula>IF($D$8="",TRUE)</formula>
    </cfRule>
  </conditionalFormatting>
  <conditionalFormatting sqref="D14">
    <cfRule type="expression" dxfId="303" priority="161">
      <formula>IF($D$14="",TRUE)</formula>
    </cfRule>
  </conditionalFormatting>
  <conditionalFormatting sqref="D16">
    <cfRule type="expression" dxfId="302" priority="158">
      <formula>IF($D$16="",TRUE)</formula>
    </cfRule>
  </conditionalFormatting>
  <conditionalFormatting sqref="D22:E22">
    <cfRule type="expression" dxfId="301" priority="146">
      <formula>IF($D$22="",TRUE)</formula>
    </cfRule>
  </conditionalFormatting>
  <conditionalFormatting sqref="D23:E23">
    <cfRule type="expression" dxfId="300" priority="144">
      <formula>IF($D$23="",TRUE)</formula>
    </cfRule>
  </conditionalFormatting>
  <conditionalFormatting sqref="D24:E24">
    <cfRule type="expression" dxfId="299" priority="143">
      <formula>IF($D$24="",TRUE)</formula>
    </cfRule>
  </conditionalFormatting>
  <conditionalFormatting sqref="D25:E25">
    <cfRule type="expression" dxfId="298" priority="142">
      <formula>IF($D$25="",TRUE)</formula>
    </cfRule>
  </conditionalFormatting>
  <conditionalFormatting sqref="D69 D71 D73 D75 D77 D59 D61 D63 D65 D67 D9 D18">
    <cfRule type="expression" dxfId="297" priority="112">
      <formula>IF(D9="",TRUE)</formula>
    </cfRule>
  </conditionalFormatting>
  <conditionalFormatting sqref="D40">
    <cfRule type="expression" dxfId="296" priority="92">
      <formula>IF(F40=1,TRUE)</formula>
    </cfRule>
    <cfRule type="expression" dxfId="295" priority="93">
      <formula>IF(D40="",TRUE)</formula>
    </cfRule>
  </conditionalFormatting>
  <conditionalFormatting sqref="D52">
    <cfRule type="expression" dxfId="294" priority="90">
      <formula>IF(F52=1,TRUE)</formula>
    </cfRule>
    <cfRule type="expression" dxfId="293" priority="91">
      <formula>IF(D52="",TRUE)</formula>
    </cfRule>
  </conditionalFormatting>
  <conditionalFormatting sqref="D41">
    <cfRule type="expression" dxfId="292" priority="76">
      <formula>IF(F41=1,TRUE)</formula>
    </cfRule>
    <cfRule type="expression" dxfId="291" priority="77">
      <formula>IF(D41="",TRUE)</formula>
    </cfRule>
  </conditionalFormatting>
  <conditionalFormatting sqref="D42">
    <cfRule type="expression" dxfId="290" priority="74">
      <formula>IF(F42=1,TRUE)</formula>
    </cfRule>
    <cfRule type="expression" dxfId="289" priority="75">
      <formula>IF(D42="",TRUE)</formula>
    </cfRule>
  </conditionalFormatting>
  <conditionalFormatting sqref="D43">
    <cfRule type="expression" dxfId="288" priority="72">
      <formula>IF(F43=1,TRUE)</formula>
    </cfRule>
    <cfRule type="expression" dxfId="287" priority="73">
      <formula>IF(D43="",TRUE)</formula>
    </cfRule>
  </conditionalFormatting>
  <conditionalFormatting sqref="D53">
    <cfRule type="expression" dxfId="286" priority="70">
      <formula>IF(F53=1,TRUE)</formula>
    </cfRule>
    <cfRule type="expression" dxfId="285" priority="71">
      <formula>IF(D53="",TRUE)</formula>
    </cfRule>
  </conditionalFormatting>
  <conditionalFormatting sqref="D54">
    <cfRule type="expression" dxfId="284" priority="68">
      <formula>IF(F54=1,TRUE)</formula>
    </cfRule>
    <cfRule type="expression" dxfId="283" priority="69">
      <formula>IF(D54="",TRUE)</formula>
    </cfRule>
  </conditionalFormatting>
  <conditionalFormatting sqref="D55">
    <cfRule type="expression" dxfId="282" priority="66">
      <formula>IF(F55=1,TRUE)</formula>
    </cfRule>
    <cfRule type="expression" dxfId="281" priority="67">
      <formula>IF(D55="",TRUE)</formula>
    </cfRule>
  </conditionalFormatting>
  <conditionalFormatting sqref="I3">
    <cfRule type="cellIs" dxfId="280" priority="51" operator="equal">
      <formula>"1 or more required fields need to be populated"</formula>
    </cfRule>
  </conditionalFormatting>
  <conditionalFormatting sqref="D46">
    <cfRule type="expression" dxfId="279" priority="36">
      <formula>IF(F46=1,TRUE)</formula>
    </cfRule>
    <cfRule type="expression" dxfId="278" priority="37">
      <formula>IF(D46="",TRUE)</formula>
    </cfRule>
  </conditionalFormatting>
  <conditionalFormatting sqref="D47">
    <cfRule type="expression" dxfId="277" priority="34">
      <formula>IF(F47=1,TRUE)</formula>
    </cfRule>
    <cfRule type="expression" dxfId="276" priority="35">
      <formula>IF(D47="",TRUE)</formula>
    </cfRule>
  </conditionalFormatting>
  <conditionalFormatting sqref="D48">
    <cfRule type="expression" dxfId="275" priority="32">
      <formula>IF(F48=1,TRUE)</formula>
    </cfRule>
    <cfRule type="expression" dxfId="274" priority="33">
      <formula>IF(D48="",TRUE)</formula>
    </cfRule>
  </conditionalFormatting>
  <conditionalFormatting sqref="D49">
    <cfRule type="expression" dxfId="273" priority="30">
      <formula>IF(F49=1,TRUE)</formula>
    </cfRule>
    <cfRule type="expression" dxfId="272" priority="31">
      <formula>IF(D49="",TRUE)</formula>
    </cfRule>
  </conditionalFormatting>
  <conditionalFormatting sqref="D28">
    <cfRule type="expression" dxfId="271" priority="20">
      <formula>IF(F28=1,TRUE)</formula>
    </cfRule>
    <cfRule type="expression" dxfId="270" priority="21">
      <formula>IF(D28="",TRUE)</formula>
    </cfRule>
  </conditionalFormatting>
  <conditionalFormatting sqref="D29">
    <cfRule type="expression" dxfId="269" priority="18">
      <formula>IF(F29=1,TRUE)</formula>
    </cfRule>
    <cfRule type="expression" dxfId="268" priority="19">
      <formula>IF(D29="",TRUE)</formula>
    </cfRule>
  </conditionalFormatting>
  <conditionalFormatting sqref="D30">
    <cfRule type="expression" dxfId="267" priority="16">
      <formula>IF(F30=1,TRUE)</formula>
    </cfRule>
    <cfRule type="expression" dxfId="266" priority="17">
      <formula>IF(D30="",TRUE)</formula>
    </cfRule>
  </conditionalFormatting>
  <conditionalFormatting sqref="D31">
    <cfRule type="expression" dxfId="265" priority="14">
      <formula>IF(F31=1,TRUE)</formula>
    </cfRule>
    <cfRule type="expression" dxfId="264" priority="15">
      <formula>IF(D31="",TRUE)</formula>
    </cfRule>
  </conditionalFormatting>
  <conditionalFormatting sqref="D34">
    <cfRule type="expression" dxfId="263" priority="12">
      <formula>IF(F34=1,TRUE)</formula>
    </cfRule>
    <cfRule type="expression" dxfId="262" priority="13">
      <formula>IF(D34="",TRUE)</formula>
    </cfRule>
  </conditionalFormatting>
  <conditionalFormatting sqref="D35">
    <cfRule type="expression" dxfId="261" priority="10">
      <formula>IF(F35=1,TRUE)</formula>
    </cfRule>
    <cfRule type="expression" dxfId="260" priority="11">
      <formula>IF(D35="",TRUE)</formula>
    </cfRule>
  </conditionalFormatting>
  <conditionalFormatting sqref="D36">
    <cfRule type="expression" dxfId="259" priority="8">
      <formula>IF(F36=1,TRUE)</formula>
    </cfRule>
    <cfRule type="expression" dxfId="258" priority="9">
      <formula>IF(D36="",TRUE)</formula>
    </cfRule>
  </conditionalFormatting>
  <conditionalFormatting sqref="D37">
    <cfRule type="expression" dxfId="257" priority="6">
      <formula>IF(F37=1,TRUE)</formula>
    </cfRule>
    <cfRule type="expression" dxfId="256" priority="7">
      <formula>IF(D37="",TRUE)</formula>
    </cfRule>
  </conditionalFormatting>
  <conditionalFormatting sqref="D10">
    <cfRule type="expression" dxfId="255" priority="4">
      <formula>IF(N11=1,TRUE)</formula>
    </cfRule>
  </conditionalFormatting>
  <conditionalFormatting sqref="D11:J11">
    <cfRule type="expression" dxfId="254" priority="3">
      <formula>IF(N11=1,TRUE)</formula>
    </cfRule>
  </conditionalFormatting>
  <conditionalFormatting sqref="D10:J10">
    <cfRule type="expression" dxfId="253" priority="1">
      <formula>IF(D10&lt;&gt;0,TRUE)</formula>
    </cfRule>
    <cfRule type="expression" dxfId="252" priority="2">
      <formula>IF(N12=1,TRUE)</formula>
    </cfRule>
  </conditionalFormatting>
  <dataValidations count="14">
    <dataValidation type="list" allowBlank="1" showInputMessage="1" showErrorMessage="1" sqref="D71:E71 D61:E61 D59:E59 D22:E25 D69:E69">
      <formula1>"Yes,No"</formula1>
    </dataValidation>
    <dataValidation type="list" allowBlank="1" showInputMessage="1" showErrorMessage="1" sqref="D77:E77 D67:E67 D75:E75">
      <formula1>"Yes, No"</formula1>
    </dataValidation>
    <dataValidation type="list" allowBlank="1" showInputMessage="1" showErrorMessage="1" sqref="D73:E73">
      <formula1>"Yes (3rd party audit),Yes (documentation review only),Yes (internal audit),Yes (all methods apply),No"</formula1>
    </dataValidation>
    <dataValidation type="list" allowBlank="1" showInputMessage="1" showErrorMessage="1" sqref="D52:E55">
      <formula1>"Yes, No,Unknown"</formula1>
    </dataValidation>
    <dataValidation type="list" allowBlank="1" showInputMessage="1" showErrorMessage="1" sqref="D63:E63">
      <formula1>"Yes,Yes included in standard contract language,No"</formula1>
    </dataValidation>
    <dataValidation type="list" allowBlank="1" showInputMessage="1" showErrorMessage="1" sqref="D46:E49">
      <formula1>"Yes all smelters have been provided,No"</formula1>
    </dataValidation>
    <dataValidation type="list" allowBlank="1" showInputMessage="1" showErrorMessage="1" sqref="D40:E43">
      <formula1>"Yes,No but &gt; 75%,No but &gt; 50%,No but &gt; 25%,No but &lt; 25%,No - none"</formula1>
    </dataValidation>
    <dataValidation type="list" allowBlank="1" showInputMessage="1" showErrorMessage="1" sqref="D65:E65">
      <formula1>"Yes,No,Planned once lists become available"</formula1>
    </dataValidation>
    <dataValidation type="list" allowBlank="1" showInputMessage="1" showErrorMessage="1" sqref="D28:E31 D34:E37">
      <formula1>"Yes,No,Uncertain or Unknown"</formula1>
    </dataValidation>
    <dataValidation type="list" allowBlank="1" showInputMessage="1" showErrorMessage="1" sqref="D3">
      <formula1>"English, 中文 Chinese,日本語 Japanese,한국어 Korean, Français,Português,Deutsch,Español"</formula1>
    </dataValidation>
    <dataValidation errorStyle="information" allowBlank="1" showInputMessage="1" showErrorMessage="1" errorTitle="Required Field" error="fill this in" sqref="D8:J8 H9:J9 D10:D11"/>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18:E18">
      <formula1>39082</formula1>
      <formula2>46112</formula2>
    </dataValidation>
    <dataValidation type="custom" allowBlank="1" showErrorMessage="1" errorTitle="Invalid email address" error="value entered does not represent a valid email address" promptTitle="Representative Email Address" prompt="Enter a valid email address for company representative here" sqref="D16:J16">
      <formula1>SEARCH(".",D16,(SEARCH("@",D16,1))+2)</formula1>
    </dataValidation>
    <dataValidation type="list" errorStyle="information" allowBlank="1" showInputMessage="1" showErrorMessage="1" errorTitle="Required Field" error="Select from dropdown options to declare survey scope" sqref="D9:G9">
      <formula1>$B$126:$B$129</formula1>
    </dataValidation>
  </dataValidations>
  <hyperlinks>
    <hyperlink ref="H51" r:id="rId2" display="http://www.conflictfreesmelter.org/"/>
    <hyperlink ref="H51:J51" r:id="rId3" display="Link to &quot;CFS Compliant Smelter List&quot;"/>
    <hyperlink ref="B78:J78" location="Checker!A1" display="Checker!A1"/>
    <hyperlink ref="H39:J39" location="'Smelter List'!B5" display="'Smelter List'!B5"/>
    <hyperlink ref="H45:J45" location="'Smelter List'!J3" display="'Smelter List'!J3"/>
    <hyperlink ref="I4:J4" location="Instructions!A56" display="Link to Terms &amp; Conditions"/>
    <hyperlink ref="F3:H3" location="Checker!A1" display="Checker!A1"/>
    <hyperlink ref="D11:J11" location="'Product List'!B6" display="'Product List'!B6"/>
  </hyperlinks>
  <pageMargins left="0.7" right="0.7" top="0.75" bottom="0.75" header="0.3" footer="0.3"/>
  <pageSetup orientation="portrait" r:id="rId4"/>
  <cellWatches>
    <cellWatch r="G53"/>
  </cellWatches>
  <drawing r:id="rId5"/>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1">
    <tabColor rgb="FFFFC000"/>
    <pageSetUpPr fitToPage="1"/>
  </sheetPr>
  <dimension ref="A1:V1309"/>
  <sheetViews>
    <sheetView showZeros="0" zoomScale="75" zoomScaleNormal="75" zoomScalePageLayoutView="75" workbookViewId="0">
      <pane xSplit="1" ySplit="4" topLeftCell="B5" activePane="bottomRight" state="frozen"/>
      <selection pane="topRight" activeCell="B1" sqref="B1"/>
      <selection pane="bottomLeft" activeCell="A5" sqref="A5"/>
      <selection pane="bottomRight" activeCell="B5" sqref="B5"/>
    </sheetView>
  </sheetViews>
  <sheetFormatPr defaultColWidth="8.75" defaultRowHeight="12.75"/>
  <cols>
    <col min="1" max="1" width="1.625" style="56" customWidth="1"/>
    <col min="2" max="2" width="13.375" style="56" customWidth="1"/>
    <col min="3" max="3" width="45.625" style="56" customWidth="1"/>
    <col min="4" max="4" width="40.5" style="56" customWidth="1"/>
    <col min="5" max="5" width="25.75" style="56" customWidth="1"/>
    <col min="6" max="7" width="25.125" style="56" customWidth="1"/>
    <col min="8" max="8" width="24.25" style="56" customWidth="1"/>
    <col min="9" max="9" width="18.375" style="56" customWidth="1"/>
    <col min="10" max="10" width="27.375" style="56" customWidth="1"/>
    <col min="11" max="11" width="20.625" style="56" customWidth="1"/>
    <col min="12" max="13" width="26.5" style="56" customWidth="1"/>
    <col min="14" max="14" width="30.125" style="56" customWidth="1"/>
    <col min="15" max="15" width="1.625" style="56" customWidth="1"/>
    <col min="16" max="16" width="8.75" style="56"/>
    <col min="17" max="17" width="39.25" style="56" customWidth="1"/>
    <col min="18" max="21" width="8.75" style="56" customWidth="1"/>
    <col min="22" max="16384" width="8.75" style="56"/>
  </cols>
  <sheetData>
    <row r="1" spans="1:18" ht="13.5" thickTop="1">
      <c r="A1" s="301"/>
      <c r="B1" s="302"/>
      <c r="C1" s="302"/>
      <c r="D1" s="302"/>
      <c r="E1" s="302"/>
      <c r="F1" s="302"/>
      <c r="G1" s="302"/>
      <c r="H1" s="302"/>
      <c r="I1" s="302"/>
      <c r="J1" s="302"/>
      <c r="K1" s="302"/>
      <c r="L1" s="302"/>
      <c r="M1" s="302"/>
      <c r="N1" s="302"/>
      <c r="O1" s="303"/>
      <c r="Q1" s="111"/>
      <c r="R1" s="107"/>
    </row>
    <row r="2" spans="1:18" ht="60" customHeight="1">
      <c r="A2" s="309"/>
      <c r="B2" s="314" t="str">
        <f>IF($K$3="English",D1019,IF($K$3="中文 Chinese",E1019,IF($K$3="日本語 Japanese",F1019,IF($K$3="한국어 Korean",G1019,IF($K$3="Français",H1019,IF($K$3="Português",I1019,IF($K$3="Deutsch",J1019,IF($K$3="Español",K1019))))))))</f>
        <v>To begin:
Step 1. Select Metal in column B
Step 2. Select from dropdown in column C
Step 3. If dropdown selection is "Smelter Not Listed" complete columns D &amp; E
Step 4. Enter all available smelter information in columns F thru N</v>
      </c>
      <c r="C2" s="315"/>
      <c r="D2" s="310"/>
      <c r="E2" s="310"/>
      <c r="F2" s="310"/>
      <c r="G2" s="310"/>
      <c r="H2" s="311"/>
      <c r="I2" s="307" t="str">
        <f>IF($K$3="English",D1018,IF($K$3="中文 Chinese",E1018,IF($K$3="日本語 Japanese",F1018,IF($K$3="한국어 Korean",G1018,IF($K$3="Français",H1018,IF($K$3="Português",I1018,IF($K$3="Deutsch",J1018,IF($K$3="Español",K1018))))))))</f>
        <v>Link to "CFS Compliant Smelter List"</v>
      </c>
      <c r="J2" s="308"/>
      <c r="K2" s="308"/>
      <c r="L2" s="308"/>
      <c r="M2" s="308"/>
      <c r="N2" s="308"/>
      <c r="O2" s="138"/>
      <c r="R2" s="111"/>
    </row>
    <row r="3" spans="1:18" ht="97.15" customHeight="1">
      <c r="A3" s="309"/>
      <c r="B3" s="316"/>
      <c r="C3" s="317"/>
      <c r="D3" s="312"/>
      <c r="E3" s="312"/>
      <c r="F3" s="312"/>
      <c r="G3" s="312"/>
      <c r="H3" s="313"/>
      <c r="I3" s="305" t="s">
        <v>535</v>
      </c>
      <c r="J3" s="306"/>
      <c r="K3" s="81" t="s">
        <v>2207</v>
      </c>
      <c r="L3" s="142"/>
      <c r="M3" s="142"/>
      <c r="N3" s="98" t="s">
        <v>808</v>
      </c>
      <c r="O3" s="138"/>
    </row>
    <row r="4" spans="1:18" s="57" customFormat="1" ht="76.150000000000006" customHeight="1">
      <c r="A4" s="309"/>
      <c r="B4" s="80" t="str">
        <f>IF($K$3="English",D1005,IF($K$3="中文 Chinese",E1005,IF($K$3="日本語 Japanese",F1005,IF($K$3="한국어 Korean",G1005,IF($K$3="Français",H1005,IF($K$3="Português",I1005,IF($K$3="Deutsch",J1005,IF($K$3="Español",K1005))))))))</f>
        <v>Metal (*)</v>
      </c>
      <c r="C4" s="80" t="str">
        <f>IF($K$3="English",D1006,IF($K$3="中文 Chinese",E1006,IF($K$3="日本語 Japanese",F1006,IF($K$3="한국어 Korean",G1006,IF($K$3="Français",H1006,IF($K$3="Português",I1006,IF($K$3="Deutsch",J1006,IF($K$3="Español",K1006))))))))</f>
        <v>Smelter Reference List (*)</v>
      </c>
      <c r="D4" s="80" t="str">
        <f>IF($K$3="English",D1007,IF($K$3="中文 Chinese",E1007,IF($K$3="日本語 Japanese",F1007,IF($K$3="한국어 Korean",G1007,IF($K$3="Français",H1007,IF($K$3="Português",I1007,IF($K$3="Deutsch",J1007,IF($K$3="Español",K1007))))))))</f>
        <v>Standard Smelter Names (*)</v>
      </c>
      <c r="E4" s="80" t="str">
        <f>IF($K$3="English",D1008,IF($K$3="中文 Chinese",E1008,IF($K$3="日本語 Japanese",F1008,IF($K$3="한국어 Korean",G1008,IF($K$3="Français",H1008,IF($K$3="Português",I1008,IF($K$3="Deutsch",J1008,IF($K$3="Español",K1008))))))))</f>
        <v>Smelter Facility Location: Country (*)</v>
      </c>
      <c r="F4" s="80" t="str">
        <f>IF($K$3="English",D1009,IF($K$3="中文 Chinese",E1009,IF($K$3="日本語 Japanese",F1009,IF($K$3="한국어 Korean",G1009,IF($K$3="Français",H1009,IF($K$3="Português",I1009,IF($K$3="Deutsch",J1009,IF($K$3="Español",K1009))))))))</f>
        <v>Smelter Facility Location: Street address</v>
      </c>
      <c r="G4" s="80" t="str">
        <f>IF($K$3="English",D1010,IF($K$3="中文 Chinese",E1010,IF($K$3="日本語 Japanese",F1010,IF($K$3="한국어 Korean",G1010,IF($K$3="Français",H1010,IF($K$3="Português",I1010,IF($K$3="Deutsch",J1010,IF($K$3="Español",K1010))))))))</f>
        <v>Smelter Facility Location: City</v>
      </c>
      <c r="H4" s="80" t="str">
        <f>IF($K$3="English",D1011,IF($K$3="中文 Chinese",E1011,IF($K$3="日本語 Japanese",F1011,IF($K$3="한국어 Korean",G1011,IF($K$3="Français",H1011,IF($K$3="Português",I1011,IF($K$3="Deutsch",J1011,IF($K$3="Español",K1011))))))))</f>
        <v>Smelter Facility Location: State / Province</v>
      </c>
      <c r="I4" s="80" t="str">
        <f>IF($K$3="English",D1012,IF($K$3="中文 Chinese",E1012,IF($K$3="日本語 Japanese",F1012,IF($K$3="한국어 Korean",G1012,IF($K$3="Français",H1012,IF($K$3="Português",I1012,IF($K$3="Deutsch",J1012,IF($K$3="Español",K1012))))))))</f>
        <v>Smelter Facility Contact Name</v>
      </c>
      <c r="J4" s="80" t="str">
        <f>IF($K$3="English",D1013,IF($K$3="中文 Chinese",E1013,IF($K$3="日本語 Japanese",F1013,IF($K$3="한국어 Korean",G1013,IF($K$3="Français",H1013,IF($K$3="Português",I1013,IF($K$3="Deutsch",J1013,IF($K$3="Español",K1013))))))))</f>
        <v>Smelter Facility Contact Email</v>
      </c>
      <c r="K4" s="80" t="str">
        <f>IF($K$3="English",D1014,IF($K$3="中文 Chinese",E1014,IF($K$3="日本語 Japanese",F1014,IF($K$3="한국어 Korean",G1014,IF($K$3="Français",H1014,IF($K$3="Português",I1014,IF($K$3="Deutsch",J1014,IF($K$3="Español",K1014))))))))</f>
        <v>Proposed next steps, if applicable</v>
      </c>
      <c r="L4" s="80" t="str">
        <f>IF($K$3="English",D1015,IF($K$3="中文 Chinese",E1015,IF($K$3="日本語 Japanese",F1015,IF($K$3="한국어 Korean",G1015,IF($K$3="Français",H1015,IF($K$3="Português",I1015,IF($K$3="Deutsch",J1015,IF($K$3="Español",K1015))))))))</f>
        <v>Name of Mine(s) or if recycled or scrap sourced, state recycled or scrap</v>
      </c>
      <c r="M4" s="80" t="str">
        <f>IF($K$3="English",D1016,IF($K$3="中文 Chinese",E1016,IF($K$3="日本語 Japanese",F1016,IF($K$3="한국어 Korean",G1016,IF($K$3="Français",H1016,IF($K$3="Português",I1016,IF($K$3="Deutsch",J1016,IF($K$3="Español",K1016))))))))</f>
        <v>Location (Country) of Mine(s) or if recycled or scrap sourced, state recycled or scrap</v>
      </c>
      <c r="N4" s="80" t="str">
        <f>IF($K$3="English",D1017,IF($K$3="中文 Chinese",E1017,IF($K$3="日本語 Japanese",F1017,IF($K$3="한국어 Korean",G1017,IF($K$3="Français",H1017,IF($K$3="Português",I1017,IF($K$3="Deutsch",J1017,IF($K$3="Español",K1017))))))))</f>
        <v>Comments</v>
      </c>
      <c r="O4" s="138"/>
      <c r="Q4" s="179"/>
    </row>
    <row r="5" spans="1:18" s="139" customFormat="1" ht="30" customHeight="1">
      <c r="A5" s="205" t="str">
        <f>IF(ISNA(VLOOKUP(D5,'Standard Smelter Names'!$B$3:$E$153,4,FALSE)),"",VLOOKUP(D5,'Standard Smelter Names'!$B$3:$E$153,4,FALSE))</f>
        <v/>
      </c>
      <c r="B5" s="170" t="s">
        <v>1187</v>
      </c>
      <c r="C5" s="184" t="s">
        <v>1333</v>
      </c>
      <c r="D5" s="184" t="s">
        <v>250</v>
      </c>
      <c r="E5" s="170" t="s">
        <v>1488</v>
      </c>
      <c r="F5" s="170"/>
      <c r="G5" s="170"/>
      <c r="H5" s="170"/>
      <c r="I5" s="170"/>
      <c r="J5" s="170"/>
      <c r="K5" s="170"/>
      <c r="L5" s="170"/>
      <c r="M5" s="170"/>
      <c r="N5" s="170"/>
      <c r="O5" s="201"/>
    </row>
    <row r="6" spans="1:18" s="139" customFormat="1" ht="30" customHeight="1">
      <c r="A6" s="205" t="str">
        <f>IF(ISNA(VLOOKUP(D6,'Standard Smelter Names'!$B$3:$E$153,4,FALSE)),"",VLOOKUP(D6,'Standard Smelter Names'!$B$3:$E$153,4,FALSE))</f>
        <v/>
      </c>
      <c r="B6" s="170" t="s">
        <v>1188</v>
      </c>
      <c r="C6" s="184" t="s">
        <v>303</v>
      </c>
      <c r="D6" s="184" t="s">
        <v>2353</v>
      </c>
      <c r="E6" s="170" t="s">
        <v>2082</v>
      </c>
      <c r="F6" s="170"/>
      <c r="G6" s="170"/>
      <c r="H6" s="170"/>
      <c r="I6" s="170"/>
      <c r="J6" s="170"/>
      <c r="K6" s="170"/>
      <c r="L6" s="170"/>
      <c r="M6" s="170"/>
      <c r="N6" s="170"/>
      <c r="O6" s="201"/>
    </row>
    <row r="7" spans="1:18" s="139" customFormat="1" ht="15.75">
      <c r="A7" s="205" t="str">
        <f>IF(ISNA(VLOOKUP(D7,'Standard Smelter Names'!$B$3:$E$153,4,FALSE)),"",VLOOKUP(D7,'Standard Smelter Names'!$B$3:$E$153,4,FALSE))</f>
        <v/>
      </c>
      <c r="B7" s="170" t="s">
        <v>1189</v>
      </c>
      <c r="C7" s="184" t="s">
        <v>320</v>
      </c>
      <c r="D7" s="184" t="s">
        <v>320</v>
      </c>
      <c r="E7" s="170" t="s">
        <v>2082</v>
      </c>
      <c r="F7" s="170"/>
      <c r="G7" s="170"/>
      <c r="H7" s="170"/>
      <c r="I7" s="170"/>
      <c r="J7" s="170"/>
      <c r="K7" s="170"/>
      <c r="L7" s="170"/>
      <c r="M7" s="170"/>
      <c r="N7" s="170"/>
      <c r="O7" s="201"/>
    </row>
    <row r="8" spans="1:18" s="139" customFormat="1" ht="89.25">
      <c r="A8" s="205" t="str">
        <f>IF(ISNA(VLOOKUP(D8,'Standard Smelter Names'!$B$3:$E$153,4,FALSE)),"",VLOOKUP(D8,'Standard Smelter Names'!$B$3:$E$153,4,FALSE))</f>
        <v>4CHN005</v>
      </c>
      <c r="B8" s="170" t="s">
        <v>1190</v>
      </c>
      <c r="C8" s="216" t="s">
        <v>1684</v>
      </c>
      <c r="D8" s="217" t="s">
        <v>1684</v>
      </c>
      <c r="E8" s="215" t="s">
        <v>1474</v>
      </c>
      <c r="F8" s="170"/>
      <c r="G8" s="215"/>
      <c r="H8" s="215"/>
      <c r="I8" s="215"/>
      <c r="J8" s="215"/>
      <c r="K8" s="215"/>
      <c r="L8" s="218"/>
      <c r="M8" s="215"/>
      <c r="N8" s="170"/>
      <c r="O8" s="201"/>
    </row>
    <row r="9" spans="1:18" s="139" customFormat="1" ht="15.75">
      <c r="A9" s="205" t="str">
        <f>IF(ISNA(VLOOKUP(D9,'Standard Smelter Names'!$B$3:$E$153,4,FALSE)),"",VLOOKUP(D9,'Standard Smelter Names'!$B$3:$E$153,4,FALSE))</f>
        <v/>
      </c>
      <c r="B9" s="170"/>
      <c r="C9" s="216"/>
      <c r="D9" s="217"/>
      <c r="E9" s="215"/>
      <c r="F9" s="219"/>
      <c r="G9" s="215"/>
      <c r="H9" s="215"/>
      <c r="I9" s="215"/>
      <c r="J9" s="215"/>
      <c r="K9" s="215"/>
      <c r="L9" s="215"/>
      <c r="M9" s="215"/>
      <c r="N9" s="170"/>
      <c r="O9" s="201"/>
    </row>
    <row r="10" spans="1:18" s="139" customFormat="1" ht="15.75">
      <c r="A10" s="205" t="str">
        <f>IF(ISNA(VLOOKUP(D10,'Standard Smelter Names'!$B$3:$E$153,4,FALSE)),"",VLOOKUP(D10,'Standard Smelter Names'!$B$3:$E$153,4,FALSE))</f>
        <v/>
      </c>
      <c r="B10" s="170"/>
      <c r="C10" s="216"/>
      <c r="D10" s="217"/>
      <c r="E10" s="215"/>
      <c r="F10" s="219"/>
      <c r="G10" s="215"/>
      <c r="H10" s="215"/>
      <c r="I10" s="215"/>
      <c r="J10" s="215"/>
      <c r="K10" s="215"/>
      <c r="L10" s="215"/>
      <c r="M10" s="215"/>
      <c r="N10" s="170"/>
      <c r="O10" s="201"/>
    </row>
    <row r="11" spans="1:18" s="139" customFormat="1" ht="15.75">
      <c r="A11" s="205" t="str">
        <f>IF(ISNA(VLOOKUP(D11,'Standard Smelter Names'!$B$3:$E$153,4,FALSE)),"",VLOOKUP(D11,'Standard Smelter Names'!$B$3:$E$153,4,FALSE))</f>
        <v/>
      </c>
      <c r="B11" s="170"/>
      <c r="C11" s="216"/>
      <c r="D11" s="217"/>
      <c r="E11" s="215"/>
      <c r="F11" s="219"/>
      <c r="G11" s="215"/>
      <c r="H11" s="215"/>
      <c r="I11" s="215"/>
      <c r="J11" s="215"/>
      <c r="K11" s="215"/>
      <c r="L11" s="215"/>
      <c r="M11" s="215"/>
      <c r="N11" s="170"/>
      <c r="O11" s="201"/>
    </row>
    <row r="12" spans="1:18" s="139" customFormat="1" ht="15.75">
      <c r="A12" s="205" t="str">
        <f>IF(ISNA(VLOOKUP(D12,'Standard Smelter Names'!$B$3:$E$153,4,FALSE)),"",VLOOKUP(D12,'Standard Smelter Names'!$B$3:$E$153,4,FALSE))</f>
        <v/>
      </c>
      <c r="B12" s="170"/>
      <c r="C12" s="216"/>
      <c r="D12" s="217"/>
      <c r="E12" s="215"/>
      <c r="F12" s="219"/>
      <c r="G12" s="215"/>
      <c r="H12" s="215"/>
      <c r="I12" s="215"/>
      <c r="J12" s="215"/>
      <c r="K12" s="215"/>
      <c r="L12" s="215"/>
      <c r="M12" s="215"/>
      <c r="N12" s="170"/>
      <c r="O12" s="201"/>
    </row>
    <row r="13" spans="1:18" s="139" customFormat="1" ht="15.75">
      <c r="A13" s="205" t="str">
        <f>IF(ISNA(VLOOKUP(D13,'Standard Smelter Names'!$B$3:$E$153,4,FALSE)),"",VLOOKUP(D13,'Standard Smelter Names'!$B$3:$E$153,4,FALSE))</f>
        <v/>
      </c>
      <c r="B13" s="170"/>
      <c r="C13" s="216"/>
      <c r="D13" s="217"/>
      <c r="E13" s="215"/>
      <c r="F13" s="219"/>
      <c r="G13" s="215"/>
      <c r="H13" s="215"/>
      <c r="I13" s="215"/>
      <c r="J13" s="215"/>
      <c r="K13" s="215"/>
      <c r="L13" s="215"/>
      <c r="M13" s="215"/>
      <c r="N13" s="170"/>
      <c r="O13" s="201"/>
    </row>
    <row r="14" spans="1:18" s="139" customFormat="1" ht="15.75">
      <c r="A14" s="205" t="str">
        <f>IF(ISNA(VLOOKUP(D14,'Standard Smelter Names'!$B$3:$E$153,4,FALSE)),"",VLOOKUP(D14,'Standard Smelter Names'!$B$3:$E$153,4,FALSE))</f>
        <v/>
      </c>
      <c r="B14" s="170"/>
      <c r="C14" s="216"/>
      <c r="D14" s="220"/>
      <c r="E14" s="215"/>
      <c r="F14" s="219"/>
      <c r="G14" s="215"/>
      <c r="H14" s="215"/>
      <c r="I14" s="215"/>
      <c r="J14" s="215"/>
      <c r="K14" s="215"/>
      <c r="L14" s="215"/>
      <c r="M14" s="215"/>
      <c r="N14" s="170"/>
      <c r="O14" s="201"/>
    </row>
    <row r="15" spans="1:18" s="139" customFormat="1" ht="15.75">
      <c r="A15" s="205" t="str">
        <f>IF(ISNA(VLOOKUP(D15,'Standard Smelter Names'!$B$3:$E$153,4,FALSE)),"",VLOOKUP(D15,'Standard Smelter Names'!$B$3:$E$153,4,FALSE))</f>
        <v/>
      </c>
      <c r="B15" s="170"/>
      <c r="C15" s="216"/>
      <c r="D15" s="217"/>
      <c r="E15" s="215"/>
      <c r="F15" s="219"/>
      <c r="G15" s="215"/>
      <c r="H15" s="215"/>
      <c r="I15" s="215"/>
      <c r="J15" s="215"/>
      <c r="K15" s="215"/>
      <c r="L15" s="215"/>
      <c r="M15" s="215"/>
      <c r="N15" s="170"/>
      <c r="O15" s="201"/>
    </row>
    <row r="16" spans="1:18" s="139" customFormat="1" ht="15.75">
      <c r="A16" s="205" t="str">
        <f>IF(ISNA(VLOOKUP(D16,'Standard Smelter Names'!$B$3:$E$153,4,FALSE)),"",VLOOKUP(D16,'Standard Smelter Names'!$B$3:$E$153,4,FALSE))</f>
        <v/>
      </c>
      <c r="B16" s="170"/>
      <c r="C16" s="216"/>
      <c r="D16" s="184"/>
      <c r="E16" s="215"/>
      <c r="F16" s="221"/>
      <c r="G16" s="215"/>
      <c r="H16" s="215"/>
      <c r="I16" s="215"/>
      <c r="J16" s="215"/>
      <c r="K16" s="215"/>
      <c r="L16" s="215"/>
      <c r="M16" s="215"/>
      <c r="N16" s="170"/>
      <c r="O16" s="201"/>
    </row>
    <row r="17" spans="1:15" s="139" customFormat="1" ht="15.75">
      <c r="A17" s="205" t="str">
        <f>IF(ISNA(VLOOKUP(D17,'Standard Smelter Names'!$B$3:$E$153,4,FALSE)),"",VLOOKUP(D17,'Standard Smelter Names'!$B$3:$E$153,4,FALSE))</f>
        <v/>
      </c>
      <c r="B17" s="170"/>
      <c r="C17" s="216"/>
      <c r="D17" s="184"/>
      <c r="E17" s="215"/>
      <c r="F17" s="170"/>
      <c r="G17" s="215"/>
      <c r="H17" s="215"/>
      <c r="I17" s="215"/>
      <c r="J17" s="215"/>
      <c r="K17" s="215"/>
      <c r="L17" s="215"/>
      <c r="M17" s="215"/>
      <c r="N17" s="170"/>
      <c r="O17" s="201"/>
    </row>
    <row r="18" spans="1:15" s="139" customFormat="1" ht="15.75">
      <c r="A18" s="205" t="str">
        <f>IF(ISNA(VLOOKUP(D18,'Standard Smelter Names'!$B$3:$E$153,4,FALSE)),"",VLOOKUP(D18,'Standard Smelter Names'!$B$3:$E$153,4,FALSE))</f>
        <v/>
      </c>
      <c r="B18" s="170"/>
      <c r="C18" s="216"/>
      <c r="D18" s="217"/>
      <c r="E18" s="215"/>
      <c r="F18" s="219"/>
      <c r="G18" s="215"/>
      <c r="H18" s="215"/>
      <c r="I18" s="215"/>
      <c r="J18" s="215"/>
      <c r="K18" s="215"/>
      <c r="L18" s="215"/>
      <c r="M18" s="215"/>
      <c r="N18" s="170"/>
      <c r="O18" s="201"/>
    </row>
    <row r="19" spans="1:15" s="139" customFormat="1" ht="15.75">
      <c r="A19" s="205" t="str">
        <f>IF(ISNA(VLOOKUP(D19,'Standard Smelter Names'!$B$3:$E$153,4,FALSE)),"",VLOOKUP(D19,'Standard Smelter Names'!$B$3:$E$153,4,FALSE))</f>
        <v/>
      </c>
      <c r="B19" s="170"/>
      <c r="C19" s="216"/>
      <c r="D19" s="217"/>
      <c r="E19" s="215"/>
      <c r="F19" s="219"/>
      <c r="G19" s="215"/>
      <c r="H19" s="215"/>
      <c r="I19" s="215"/>
      <c r="J19" s="215"/>
      <c r="K19" s="215"/>
      <c r="L19" s="215"/>
      <c r="M19" s="215"/>
      <c r="N19" s="170"/>
      <c r="O19" s="201"/>
    </row>
    <row r="20" spans="1:15" s="139" customFormat="1" ht="15.75">
      <c r="A20" s="205" t="str">
        <f>IF(ISNA(VLOOKUP(D20,'Standard Smelter Names'!$B$3:$E$153,4,FALSE)),"",VLOOKUP(D20,'Standard Smelter Names'!$B$3:$E$153,4,FALSE))</f>
        <v/>
      </c>
      <c r="B20" s="170"/>
      <c r="C20" s="216"/>
      <c r="D20" s="217"/>
      <c r="E20" s="215"/>
      <c r="F20" s="219"/>
      <c r="G20" s="215"/>
      <c r="H20" s="215"/>
      <c r="I20" s="215"/>
      <c r="J20" s="215"/>
      <c r="K20" s="215"/>
      <c r="L20" s="215"/>
      <c r="M20" s="215"/>
      <c r="N20" s="170"/>
      <c r="O20" s="201"/>
    </row>
    <row r="21" spans="1:15" s="139" customFormat="1" ht="15.75">
      <c r="A21" s="205" t="str">
        <f>IF(ISNA(VLOOKUP(D21,'Standard Smelter Names'!$B$3:$E$153,4,FALSE)),"",VLOOKUP(D21,'Standard Smelter Names'!$B$3:$E$153,4,FALSE))</f>
        <v/>
      </c>
      <c r="B21" s="170"/>
      <c r="C21" s="216"/>
      <c r="D21" s="217"/>
      <c r="E21" s="222"/>
      <c r="F21" s="222"/>
      <c r="G21" s="222"/>
      <c r="H21" s="222"/>
      <c r="I21" s="222"/>
      <c r="J21" s="222"/>
      <c r="K21" s="215"/>
      <c r="L21" s="215"/>
      <c r="M21" s="215"/>
      <c r="N21" s="170"/>
      <c r="O21" s="201"/>
    </row>
    <row r="22" spans="1:15" s="139" customFormat="1" ht="15.75">
      <c r="A22" s="205" t="str">
        <f>IF(ISNA(VLOOKUP(D22,'Standard Smelter Names'!$B$3:$E$153,4,FALSE)),"",VLOOKUP(D22,'Standard Smelter Names'!$B$3:$E$153,4,FALSE))</f>
        <v/>
      </c>
      <c r="B22" s="170"/>
      <c r="C22" s="216"/>
      <c r="D22" s="217"/>
      <c r="E22" s="222"/>
      <c r="F22" s="222"/>
      <c r="G22" s="222"/>
      <c r="H22" s="222"/>
      <c r="I22" s="222"/>
      <c r="J22" s="222"/>
      <c r="K22" s="215"/>
      <c r="L22" s="215"/>
      <c r="M22" s="215"/>
      <c r="N22" s="170"/>
      <c r="O22" s="201"/>
    </row>
    <row r="23" spans="1:15" s="139" customFormat="1" ht="15.75">
      <c r="A23" s="205" t="str">
        <f>IF(ISNA(VLOOKUP(D23,'Standard Smelter Names'!$B$3:$E$153,4,FALSE)),"",VLOOKUP(D23,'Standard Smelter Names'!$B$3:$E$153,4,FALSE))</f>
        <v/>
      </c>
      <c r="B23" s="170"/>
      <c r="C23" s="216"/>
      <c r="D23" s="184"/>
      <c r="E23" s="170"/>
      <c r="F23" s="170"/>
      <c r="G23" s="170"/>
      <c r="H23" s="170"/>
      <c r="I23" s="170"/>
      <c r="J23" s="170"/>
      <c r="K23" s="223"/>
      <c r="L23" s="223"/>
      <c r="M23" s="170"/>
      <c r="N23" s="170"/>
      <c r="O23" s="201"/>
    </row>
    <row r="24" spans="1:15" s="139" customFormat="1" ht="15.75">
      <c r="A24" s="205" t="str">
        <f>IF(ISNA(VLOOKUP(D24,'Standard Smelter Names'!$B$3:$E$153,4,FALSE)),"",VLOOKUP(D24,'Standard Smelter Names'!$B$3:$E$153,4,FALSE))</f>
        <v/>
      </c>
      <c r="B24" s="170"/>
      <c r="C24" s="216"/>
      <c r="D24" s="216"/>
      <c r="E24" s="170"/>
      <c r="F24" s="170"/>
      <c r="G24" s="170"/>
      <c r="H24" s="170"/>
      <c r="I24" s="170"/>
      <c r="J24" s="170"/>
      <c r="K24" s="170"/>
      <c r="L24" s="170"/>
      <c r="M24" s="170"/>
      <c r="N24" s="170"/>
      <c r="O24" s="201"/>
    </row>
    <row r="25" spans="1:15" s="139" customFormat="1" ht="15.75">
      <c r="A25" s="205" t="str">
        <f>IF(ISNA(VLOOKUP(D25,'Standard Smelter Names'!$B$3:$E$153,4,FALSE)),"",VLOOKUP(D25,'Standard Smelter Names'!$B$3:$E$153,4,FALSE))</f>
        <v/>
      </c>
      <c r="B25" s="170"/>
      <c r="C25" s="216"/>
      <c r="D25" s="216"/>
      <c r="E25" s="215"/>
      <c r="F25" s="170"/>
      <c r="G25" s="170"/>
      <c r="H25" s="170"/>
      <c r="I25" s="170"/>
      <c r="J25" s="170"/>
      <c r="K25" s="170"/>
      <c r="L25" s="170"/>
      <c r="M25" s="170"/>
      <c r="N25" s="170"/>
      <c r="O25" s="201"/>
    </row>
    <row r="26" spans="1:15" s="139" customFormat="1" ht="15.75">
      <c r="A26" s="205" t="str">
        <f>IF(ISNA(VLOOKUP(D26,'Standard Smelter Names'!$B$3:$E$153,4,FALSE)),"",VLOOKUP(D26,'Standard Smelter Names'!$B$3:$E$153,4,FALSE))</f>
        <v/>
      </c>
      <c r="B26" s="170"/>
      <c r="C26" s="184"/>
      <c r="D26" s="184"/>
      <c r="E26" s="184"/>
      <c r="F26" s="184"/>
      <c r="G26" s="184"/>
      <c r="H26" s="184"/>
      <c r="I26" s="184"/>
      <c r="J26" s="184"/>
      <c r="K26" s="184"/>
      <c r="L26" s="184"/>
      <c r="M26" s="184"/>
      <c r="N26" s="170"/>
      <c r="O26" s="201"/>
    </row>
    <row r="27" spans="1:15" s="139" customFormat="1" ht="15.75">
      <c r="A27" s="205" t="str">
        <f>IF(ISNA(VLOOKUP(D27,'Standard Smelter Names'!$B$3:$E$153,4,FALSE)),"",VLOOKUP(D27,'Standard Smelter Names'!$B$3:$E$153,4,FALSE))</f>
        <v/>
      </c>
      <c r="B27" s="170"/>
      <c r="C27" s="184"/>
      <c r="D27" s="184"/>
      <c r="E27" s="184"/>
      <c r="F27" s="184"/>
      <c r="G27" s="184"/>
      <c r="H27" s="184"/>
      <c r="I27" s="184"/>
      <c r="J27" s="184"/>
      <c r="K27" s="184"/>
      <c r="L27" s="184"/>
      <c r="M27" s="184"/>
      <c r="N27" s="170"/>
      <c r="O27" s="201"/>
    </row>
    <row r="28" spans="1:15" s="139" customFormat="1" ht="15.75">
      <c r="A28" s="205" t="str">
        <f>IF(ISNA(VLOOKUP(D28,'Standard Smelter Names'!$B$3:$E$153,4,FALSE)),"",VLOOKUP(D28,'Standard Smelter Names'!$B$3:$E$153,4,FALSE))</f>
        <v/>
      </c>
      <c r="B28" s="170"/>
      <c r="C28" s="184"/>
      <c r="D28" s="184"/>
      <c r="E28" s="184"/>
      <c r="F28" s="184"/>
      <c r="G28" s="184"/>
      <c r="H28" s="184"/>
      <c r="I28" s="184"/>
      <c r="J28" s="184"/>
      <c r="K28" s="184"/>
      <c r="L28" s="184"/>
      <c r="M28" s="184"/>
      <c r="N28" s="170"/>
      <c r="O28" s="201"/>
    </row>
    <row r="29" spans="1:15" s="139" customFormat="1" ht="15.75">
      <c r="A29" s="205" t="str">
        <f>IF(ISNA(VLOOKUP(D29,'Standard Smelter Names'!$B$3:$E$153,4,FALSE)),"",VLOOKUP(D29,'Standard Smelter Names'!$B$3:$E$153,4,FALSE))</f>
        <v/>
      </c>
      <c r="B29" s="170"/>
      <c r="C29" s="184"/>
      <c r="D29" s="184"/>
      <c r="E29" s="184"/>
      <c r="F29" s="184"/>
      <c r="G29" s="184"/>
      <c r="H29" s="184"/>
      <c r="I29" s="184"/>
      <c r="J29" s="184"/>
      <c r="K29" s="184"/>
      <c r="L29" s="184"/>
      <c r="M29" s="184"/>
      <c r="N29" s="170"/>
      <c r="O29" s="201"/>
    </row>
    <row r="30" spans="1:15" s="139" customFormat="1" ht="15.75">
      <c r="A30" s="205" t="str">
        <f>IF(ISNA(VLOOKUP(D30,'Standard Smelter Names'!$B$3:$E$153,4,FALSE)),"",VLOOKUP(D30,'Standard Smelter Names'!$B$3:$E$153,4,FALSE))</f>
        <v/>
      </c>
      <c r="B30" s="170"/>
      <c r="C30" s="184"/>
      <c r="D30" s="184"/>
      <c r="E30" s="184"/>
      <c r="F30" s="184"/>
      <c r="G30" s="184"/>
      <c r="H30" s="184"/>
      <c r="I30" s="184"/>
      <c r="J30" s="184"/>
      <c r="K30" s="184"/>
      <c r="L30" s="184"/>
      <c r="M30" s="184"/>
      <c r="N30" s="170"/>
      <c r="O30" s="201"/>
    </row>
    <row r="31" spans="1:15" s="139" customFormat="1" ht="15.75">
      <c r="A31" s="205" t="str">
        <f>IF(ISNA(VLOOKUP(D31,'Standard Smelter Names'!$B$3:$E$153,4,FALSE)),"",VLOOKUP(D31,'Standard Smelter Names'!$B$3:$E$153,4,FALSE))</f>
        <v/>
      </c>
      <c r="B31" s="170"/>
      <c r="C31" s="184"/>
      <c r="D31" s="184"/>
      <c r="E31" s="184"/>
      <c r="F31" s="184"/>
      <c r="G31" s="184"/>
      <c r="H31" s="184"/>
      <c r="I31" s="184"/>
      <c r="J31" s="184"/>
      <c r="K31" s="184"/>
      <c r="L31" s="184"/>
      <c r="M31" s="184"/>
      <c r="N31" s="170"/>
      <c r="O31" s="201"/>
    </row>
    <row r="32" spans="1:15" s="139" customFormat="1" ht="15.75">
      <c r="A32" s="205" t="str">
        <f>IF(ISNA(VLOOKUP(D32,'Standard Smelter Names'!$B$3:$E$153,4,FALSE)),"",VLOOKUP(D32,'Standard Smelter Names'!$B$3:$E$153,4,FALSE))</f>
        <v/>
      </c>
      <c r="B32" s="170"/>
      <c r="C32" s="184"/>
      <c r="D32" s="217"/>
      <c r="E32" s="222"/>
      <c r="F32" s="224"/>
      <c r="G32" s="224"/>
      <c r="H32" s="224"/>
      <c r="I32" s="6"/>
      <c r="J32" s="225"/>
      <c r="K32" s="170"/>
      <c r="L32" s="6"/>
      <c r="M32" s="6"/>
      <c r="N32" s="170"/>
      <c r="O32" s="201"/>
    </row>
    <row r="33" spans="1:15" s="139" customFormat="1" ht="15.75">
      <c r="A33" s="205" t="str">
        <f>IF(ISNA(VLOOKUP(D33,'Standard Smelter Names'!$B$3:$E$153,4,FALSE)),"",VLOOKUP(D33,'Standard Smelter Names'!$B$3:$E$153,4,FALSE))</f>
        <v/>
      </c>
      <c r="B33" s="170"/>
      <c r="C33" s="184"/>
      <c r="D33" s="184" t="str">
        <f t="shared" ref="D33:D68" si="0">IF(ISNA(VLOOKUP(C33,$G$1023:$I$1309,3,FALSE)),"",VLOOKUP(C33,$G$1023:$I$1309,3,FALSE))</f>
        <v/>
      </c>
      <c r="E33" s="170" t="str">
        <f t="shared" ref="E33:E68" si="1">IF(ISNA(VLOOKUP(C33,$G$1023:$I$1309,2,FALSE)),"",VLOOKUP(C33,$G$1023:$I$1309,2,FALSE))</f>
        <v/>
      </c>
      <c r="F33" s="170"/>
      <c r="G33" s="170"/>
      <c r="H33" s="170"/>
      <c r="I33" s="170"/>
      <c r="J33" s="170"/>
      <c r="K33" s="170"/>
      <c r="L33" s="170"/>
      <c r="M33" s="170"/>
      <c r="N33" s="170"/>
      <c r="O33" s="201"/>
    </row>
    <row r="34" spans="1:15" s="139" customFormat="1" ht="15.75">
      <c r="A34" s="205" t="str">
        <f>IF(ISNA(VLOOKUP(D34,'Standard Smelter Names'!$B$3:$E$153,4,FALSE)),"",VLOOKUP(D34,'Standard Smelter Names'!$B$3:$E$153,4,FALSE))</f>
        <v/>
      </c>
      <c r="B34" s="170"/>
      <c r="C34" s="184"/>
      <c r="D34" s="184" t="str">
        <f t="shared" si="0"/>
        <v/>
      </c>
      <c r="E34" s="170" t="str">
        <f t="shared" si="1"/>
        <v/>
      </c>
      <c r="F34" s="170"/>
      <c r="G34" s="170"/>
      <c r="H34" s="170"/>
      <c r="I34" s="170"/>
      <c r="J34" s="170"/>
      <c r="K34" s="170"/>
      <c r="L34" s="170"/>
      <c r="M34" s="170"/>
      <c r="N34" s="170"/>
      <c r="O34" s="201"/>
    </row>
    <row r="35" spans="1:15" s="139" customFormat="1" ht="15.75">
      <c r="A35" s="205" t="str">
        <f>IF(ISNA(VLOOKUP(D35,'Standard Smelter Names'!$B$3:$E$153,4,FALSE)),"",VLOOKUP(D35,'Standard Smelter Names'!$B$3:$E$153,4,FALSE))</f>
        <v/>
      </c>
      <c r="B35" s="170"/>
      <c r="C35" s="184"/>
      <c r="D35" s="184" t="str">
        <f t="shared" si="0"/>
        <v/>
      </c>
      <c r="E35" s="170" t="str">
        <f t="shared" si="1"/>
        <v/>
      </c>
      <c r="F35" s="170"/>
      <c r="G35" s="170"/>
      <c r="H35" s="170"/>
      <c r="I35" s="170"/>
      <c r="J35" s="170"/>
      <c r="K35" s="170"/>
      <c r="L35" s="170"/>
      <c r="M35" s="170"/>
      <c r="N35" s="170"/>
      <c r="O35" s="201"/>
    </row>
    <row r="36" spans="1:15" s="139" customFormat="1" ht="15.75">
      <c r="A36" s="205" t="str">
        <f>IF(ISNA(VLOOKUP(D36,'Standard Smelter Names'!$B$3:$E$153,4,FALSE)),"",VLOOKUP(D36,'Standard Smelter Names'!$B$3:$E$153,4,FALSE))</f>
        <v/>
      </c>
      <c r="B36" s="170"/>
      <c r="C36" s="184"/>
      <c r="D36" s="184" t="str">
        <f t="shared" si="0"/>
        <v/>
      </c>
      <c r="E36" s="170" t="str">
        <f t="shared" si="1"/>
        <v/>
      </c>
      <c r="F36" s="170"/>
      <c r="G36" s="170"/>
      <c r="H36" s="170"/>
      <c r="I36" s="170"/>
      <c r="J36" s="170"/>
      <c r="K36" s="170"/>
      <c r="L36" s="170"/>
      <c r="M36" s="170"/>
      <c r="N36" s="170"/>
      <c r="O36" s="201"/>
    </row>
    <row r="37" spans="1:15" s="139" customFormat="1" ht="15.75">
      <c r="A37" s="205" t="str">
        <f>IF(ISNA(VLOOKUP(D37,'Standard Smelter Names'!$B$3:$E$153,4,FALSE)),"",VLOOKUP(D37,'Standard Smelter Names'!$B$3:$E$153,4,FALSE))</f>
        <v/>
      </c>
      <c r="B37" s="170"/>
      <c r="C37" s="184"/>
      <c r="D37" s="184" t="str">
        <f t="shared" si="0"/>
        <v/>
      </c>
      <c r="E37" s="170" t="str">
        <f t="shared" si="1"/>
        <v/>
      </c>
      <c r="F37" s="170"/>
      <c r="G37" s="170"/>
      <c r="H37" s="170"/>
      <c r="I37" s="170"/>
      <c r="J37" s="170"/>
      <c r="K37" s="170"/>
      <c r="L37" s="170"/>
      <c r="M37" s="170"/>
      <c r="N37" s="170"/>
      <c r="O37" s="201"/>
    </row>
    <row r="38" spans="1:15" s="139" customFormat="1" ht="15.75">
      <c r="A38" s="205" t="str">
        <f>IF(ISNA(VLOOKUP(D38,'Standard Smelter Names'!$B$3:$E$153,4,FALSE)),"",VLOOKUP(D38,'Standard Smelter Names'!$B$3:$E$153,4,FALSE))</f>
        <v/>
      </c>
      <c r="B38" s="170"/>
      <c r="C38" s="184"/>
      <c r="D38" s="184" t="str">
        <f t="shared" si="0"/>
        <v/>
      </c>
      <c r="E38" s="170" t="str">
        <f t="shared" si="1"/>
        <v/>
      </c>
      <c r="F38" s="170"/>
      <c r="G38" s="170"/>
      <c r="H38" s="170"/>
      <c r="I38" s="170"/>
      <c r="J38" s="170"/>
      <c r="K38" s="170"/>
      <c r="L38" s="170"/>
      <c r="M38" s="170"/>
      <c r="N38" s="170"/>
      <c r="O38" s="201"/>
    </row>
    <row r="39" spans="1:15" s="139" customFormat="1" ht="15.75">
      <c r="A39" s="205" t="str">
        <f>IF(ISNA(VLOOKUP(D39,'Standard Smelter Names'!$B$3:$E$153,4,FALSE)),"",VLOOKUP(D39,'Standard Smelter Names'!$B$3:$E$153,4,FALSE))</f>
        <v/>
      </c>
      <c r="B39" s="170"/>
      <c r="C39" s="184"/>
      <c r="D39" s="184" t="str">
        <f t="shared" si="0"/>
        <v/>
      </c>
      <c r="E39" s="170" t="str">
        <f t="shared" si="1"/>
        <v/>
      </c>
      <c r="F39" s="170"/>
      <c r="G39" s="170"/>
      <c r="H39" s="170"/>
      <c r="I39" s="170"/>
      <c r="J39" s="170"/>
      <c r="K39" s="170"/>
      <c r="L39" s="170"/>
      <c r="M39" s="170"/>
      <c r="N39" s="170"/>
      <c r="O39" s="201"/>
    </row>
    <row r="40" spans="1:15" s="139" customFormat="1" ht="15.75">
      <c r="A40" s="205" t="str">
        <f>IF(ISNA(VLOOKUP(D40,'Standard Smelter Names'!$B$3:$E$153,4,FALSE)),"",VLOOKUP(D40,'Standard Smelter Names'!$B$3:$E$153,4,FALSE))</f>
        <v/>
      </c>
      <c r="B40" s="170"/>
      <c r="C40" s="184"/>
      <c r="D40" s="184" t="str">
        <f t="shared" si="0"/>
        <v/>
      </c>
      <c r="E40" s="170" t="str">
        <f t="shared" si="1"/>
        <v/>
      </c>
      <c r="F40" s="170"/>
      <c r="G40" s="170"/>
      <c r="H40" s="170"/>
      <c r="I40" s="170"/>
      <c r="J40" s="170"/>
      <c r="K40" s="170"/>
      <c r="L40" s="170"/>
      <c r="M40" s="170"/>
      <c r="N40" s="170"/>
      <c r="O40" s="201"/>
    </row>
    <row r="41" spans="1:15" s="139" customFormat="1" ht="15.75">
      <c r="A41" s="205" t="str">
        <f>IF(ISNA(VLOOKUP(D41,'Standard Smelter Names'!$B$3:$E$153,4,FALSE)),"",VLOOKUP(D41,'Standard Smelter Names'!$B$3:$E$153,4,FALSE))</f>
        <v/>
      </c>
      <c r="B41" s="170"/>
      <c r="C41" s="184"/>
      <c r="D41" s="184" t="str">
        <f t="shared" si="0"/>
        <v/>
      </c>
      <c r="E41" s="170" t="str">
        <f t="shared" si="1"/>
        <v/>
      </c>
      <c r="F41" s="170"/>
      <c r="G41" s="170"/>
      <c r="H41" s="170"/>
      <c r="I41" s="170"/>
      <c r="J41" s="170"/>
      <c r="K41" s="170"/>
      <c r="L41" s="170"/>
      <c r="M41" s="170"/>
      <c r="N41" s="170"/>
      <c r="O41" s="201"/>
    </row>
    <row r="42" spans="1:15" s="139" customFormat="1" ht="15.75">
      <c r="A42" s="205" t="str">
        <f>IF(ISNA(VLOOKUP(D42,'Standard Smelter Names'!$B$3:$E$153,4,FALSE)),"",VLOOKUP(D42,'Standard Smelter Names'!$B$3:$E$153,4,FALSE))</f>
        <v/>
      </c>
      <c r="B42" s="170"/>
      <c r="C42" s="184"/>
      <c r="D42" s="184" t="str">
        <f t="shared" si="0"/>
        <v/>
      </c>
      <c r="E42" s="170" t="str">
        <f t="shared" si="1"/>
        <v/>
      </c>
      <c r="F42" s="170"/>
      <c r="G42" s="170"/>
      <c r="H42" s="170"/>
      <c r="I42" s="170"/>
      <c r="J42" s="170"/>
      <c r="K42" s="170"/>
      <c r="L42" s="170"/>
      <c r="M42" s="170"/>
      <c r="N42" s="170"/>
      <c r="O42" s="201"/>
    </row>
    <row r="43" spans="1:15" s="139" customFormat="1" ht="15.75">
      <c r="A43" s="205" t="str">
        <f>IF(ISNA(VLOOKUP(D43,'Standard Smelter Names'!$B$3:$E$153,4,FALSE)),"",VLOOKUP(D43,'Standard Smelter Names'!$B$3:$E$153,4,FALSE))</f>
        <v/>
      </c>
      <c r="B43" s="170"/>
      <c r="C43" s="184"/>
      <c r="D43" s="184" t="str">
        <f t="shared" si="0"/>
        <v/>
      </c>
      <c r="E43" s="170" t="str">
        <f t="shared" si="1"/>
        <v/>
      </c>
      <c r="F43" s="170"/>
      <c r="G43" s="170"/>
      <c r="H43" s="170"/>
      <c r="I43" s="170"/>
      <c r="J43" s="170"/>
      <c r="K43" s="170"/>
      <c r="L43" s="170"/>
      <c r="M43" s="170"/>
      <c r="N43" s="170"/>
      <c r="O43" s="201"/>
    </row>
    <row r="44" spans="1:15" s="139" customFormat="1" ht="15.75">
      <c r="A44" s="205" t="str">
        <f>IF(ISNA(VLOOKUP(D44,'Standard Smelter Names'!$B$3:$E$153,4,FALSE)),"",VLOOKUP(D44,'Standard Smelter Names'!$B$3:$E$153,4,FALSE))</f>
        <v/>
      </c>
      <c r="B44" s="170"/>
      <c r="C44" s="184"/>
      <c r="D44" s="184" t="str">
        <f t="shared" si="0"/>
        <v/>
      </c>
      <c r="E44" s="170" t="str">
        <f t="shared" si="1"/>
        <v/>
      </c>
      <c r="F44" s="170"/>
      <c r="G44" s="170"/>
      <c r="H44" s="170"/>
      <c r="I44" s="170"/>
      <c r="J44" s="170"/>
      <c r="K44" s="170"/>
      <c r="L44" s="170"/>
      <c r="M44" s="170"/>
      <c r="N44" s="170"/>
      <c r="O44" s="201"/>
    </row>
    <row r="45" spans="1:15" s="139" customFormat="1" ht="15.75">
      <c r="A45" s="205" t="str">
        <f>IF(ISNA(VLOOKUP(D45,'Standard Smelter Names'!$B$3:$E$153,4,FALSE)),"",VLOOKUP(D45,'Standard Smelter Names'!$B$3:$E$153,4,FALSE))</f>
        <v/>
      </c>
      <c r="B45" s="170"/>
      <c r="C45" s="184"/>
      <c r="D45" s="184" t="str">
        <f t="shared" si="0"/>
        <v/>
      </c>
      <c r="E45" s="170" t="str">
        <f t="shared" si="1"/>
        <v/>
      </c>
      <c r="F45" s="170"/>
      <c r="G45" s="170"/>
      <c r="H45" s="170"/>
      <c r="I45" s="170"/>
      <c r="J45" s="170"/>
      <c r="K45" s="170"/>
      <c r="L45" s="170"/>
      <c r="M45" s="170"/>
      <c r="N45" s="170"/>
      <c r="O45" s="201"/>
    </row>
    <row r="46" spans="1:15" s="139" customFormat="1" ht="15.75">
      <c r="A46" s="205" t="str">
        <f>IF(ISNA(VLOOKUP(D46,'Standard Smelter Names'!$B$3:$E$153,4,FALSE)),"",VLOOKUP(D46,'Standard Smelter Names'!$B$3:$E$153,4,FALSE))</f>
        <v/>
      </c>
      <c r="B46" s="170"/>
      <c r="C46" s="184"/>
      <c r="D46" s="184" t="str">
        <f t="shared" si="0"/>
        <v/>
      </c>
      <c r="E46" s="170" t="str">
        <f t="shared" si="1"/>
        <v/>
      </c>
      <c r="F46" s="170"/>
      <c r="G46" s="170"/>
      <c r="H46" s="170"/>
      <c r="I46" s="170"/>
      <c r="J46" s="170"/>
      <c r="K46" s="170"/>
      <c r="L46" s="170"/>
      <c r="M46" s="170"/>
      <c r="N46" s="170"/>
      <c r="O46" s="201"/>
    </row>
    <row r="47" spans="1:15" s="139" customFormat="1" ht="15.75">
      <c r="A47" s="205" t="str">
        <f>IF(ISNA(VLOOKUP(D47,'Standard Smelter Names'!$B$3:$E$153,4,FALSE)),"",VLOOKUP(D47,'Standard Smelter Names'!$B$3:$E$153,4,FALSE))</f>
        <v/>
      </c>
      <c r="B47" s="170"/>
      <c r="C47" s="184"/>
      <c r="D47" s="184" t="str">
        <f t="shared" si="0"/>
        <v/>
      </c>
      <c r="E47" s="170" t="str">
        <f t="shared" si="1"/>
        <v/>
      </c>
      <c r="F47" s="170"/>
      <c r="G47" s="170"/>
      <c r="H47" s="170"/>
      <c r="I47" s="170"/>
      <c r="J47" s="170"/>
      <c r="K47" s="170"/>
      <c r="L47" s="170"/>
      <c r="M47" s="170"/>
      <c r="N47" s="170"/>
      <c r="O47" s="201"/>
    </row>
    <row r="48" spans="1:15" s="139" customFormat="1" ht="15.75">
      <c r="A48" s="205" t="str">
        <f>IF(ISNA(VLOOKUP(D48,'Standard Smelter Names'!$B$3:$E$153,4,FALSE)),"",VLOOKUP(D48,'Standard Smelter Names'!$B$3:$E$153,4,FALSE))</f>
        <v/>
      </c>
      <c r="B48" s="170"/>
      <c r="C48" s="184"/>
      <c r="D48" s="184" t="str">
        <f t="shared" si="0"/>
        <v/>
      </c>
      <c r="E48" s="170" t="str">
        <f t="shared" si="1"/>
        <v/>
      </c>
      <c r="F48" s="170"/>
      <c r="G48" s="170"/>
      <c r="H48" s="170"/>
      <c r="I48" s="170"/>
      <c r="J48" s="170"/>
      <c r="K48" s="170"/>
      <c r="L48" s="170"/>
      <c r="M48" s="170"/>
      <c r="N48" s="170"/>
      <c r="O48" s="201"/>
    </row>
    <row r="49" spans="1:15" s="139" customFormat="1" ht="15.75">
      <c r="A49" s="205" t="str">
        <f>IF(ISNA(VLOOKUP(D49,'Standard Smelter Names'!$B$3:$E$153,4,FALSE)),"",VLOOKUP(D49,'Standard Smelter Names'!$B$3:$E$153,4,FALSE))</f>
        <v/>
      </c>
      <c r="B49" s="170"/>
      <c r="C49" s="184"/>
      <c r="D49" s="184" t="str">
        <f t="shared" si="0"/>
        <v/>
      </c>
      <c r="E49" s="170" t="str">
        <f t="shared" si="1"/>
        <v/>
      </c>
      <c r="F49" s="170"/>
      <c r="G49" s="170"/>
      <c r="H49" s="170"/>
      <c r="I49" s="170"/>
      <c r="J49" s="170"/>
      <c r="K49" s="170"/>
      <c r="L49" s="170"/>
      <c r="M49" s="170"/>
      <c r="N49" s="170"/>
      <c r="O49" s="201"/>
    </row>
    <row r="50" spans="1:15" s="139" customFormat="1" ht="15.75">
      <c r="A50" s="205" t="str">
        <f>IF(ISNA(VLOOKUP(D50,'Standard Smelter Names'!$B$3:$E$153,4,FALSE)),"",VLOOKUP(D50,'Standard Smelter Names'!$B$3:$E$153,4,FALSE))</f>
        <v/>
      </c>
      <c r="B50" s="170"/>
      <c r="C50" s="184"/>
      <c r="D50" s="184" t="str">
        <f t="shared" si="0"/>
        <v/>
      </c>
      <c r="E50" s="170" t="str">
        <f t="shared" si="1"/>
        <v/>
      </c>
      <c r="F50" s="170"/>
      <c r="G50" s="170"/>
      <c r="H50" s="170"/>
      <c r="I50" s="170"/>
      <c r="J50" s="170"/>
      <c r="K50" s="170"/>
      <c r="L50" s="170"/>
      <c r="M50" s="170"/>
      <c r="N50" s="170"/>
      <c r="O50" s="201"/>
    </row>
    <row r="51" spans="1:15" s="139" customFormat="1" ht="15.75">
      <c r="A51" s="205" t="str">
        <f>IF(ISNA(VLOOKUP(D51,'Standard Smelter Names'!$B$3:$E$153,4,FALSE)),"",VLOOKUP(D51,'Standard Smelter Names'!$B$3:$E$153,4,FALSE))</f>
        <v/>
      </c>
      <c r="B51" s="170"/>
      <c r="C51" s="184"/>
      <c r="D51" s="184" t="str">
        <f t="shared" si="0"/>
        <v/>
      </c>
      <c r="E51" s="170" t="str">
        <f t="shared" si="1"/>
        <v/>
      </c>
      <c r="F51" s="170"/>
      <c r="G51" s="170"/>
      <c r="H51" s="170"/>
      <c r="I51" s="170"/>
      <c r="J51" s="170"/>
      <c r="K51" s="170"/>
      <c r="L51" s="170"/>
      <c r="M51" s="170"/>
      <c r="N51" s="170"/>
      <c r="O51" s="201"/>
    </row>
    <row r="52" spans="1:15" s="139" customFormat="1" ht="15.75">
      <c r="A52" s="205" t="str">
        <f>IF(ISNA(VLOOKUP(D52,'Standard Smelter Names'!$B$3:$E$153,4,FALSE)),"",VLOOKUP(D52,'Standard Smelter Names'!$B$3:$E$153,4,FALSE))</f>
        <v/>
      </c>
      <c r="B52" s="170"/>
      <c r="C52" s="184"/>
      <c r="D52" s="184" t="str">
        <f t="shared" si="0"/>
        <v/>
      </c>
      <c r="E52" s="170" t="str">
        <f t="shared" si="1"/>
        <v/>
      </c>
      <c r="F52" s="170"/>
      <c r="G52" s="170"/>
      <c r="H52" s="170"/>
      <c r="I52" s="170"/>
      <c r="J52" s="170"/>
      <c r="K52" s="170"/>
      <c r="L52" s="170"/>
      <c r="M52" s="170"/>
      <c r="N52" s="170"/>
      <c r="O52" s="201"/>
    </row>
    <row r="53" spans="1:15" s="139" customFormat="1" ht="15.75">
      <c r="A53" s="205" t="str">
        <f>IF(ISNA(VLOOKUP(D53,'Standard Smelter Names'!$B$3:$E$153,4,FALSE)),"",VLOOKUP(D53,'Standard Smelter Names'!$B$3:$E$153,4,FALSE))</f>
        <v/>
      </c>
      <c r="B53" s="170"/>
      <c r="C53" s="184"/>
      <c r="D53" s="184" t="str">
        <f t="shared" si="0"/>
        <v/>
      </c>
      <c r="E53" s="170" t="str">
        <f t="shared" si="1"/>
        <v/>
      </c>
      <c r="F53" s="170"/>
      <c r="G53" s="170"/>
      <c r="H53" s="170"/>
      <c r="I53" s="170"/>
      <c r="J53" s="170"/>
      <c r="K53" s="170"/>
      <c r="L53" s="170"/>
      <c r="M53" s="170"/>
      <c r="N53" s="170"/>
      <c r="O53" s="201"/>
    </row>
    <row r="54" spans="1:15" s="139" customFormat="1" ht="15.75">
      <c r="A54" s="205" t="str">
        <f>IF(ISNA(VLOOKUP(D54,'Standard Smelter Names'!$B$3:$E$153,4,FALSE)),"",VLOOKUP(D54,'Standard Smelter Names'!$B$3:$E$153,4,FALSE))</f>
        <v/>
      </c>
      <c r="B54" s="170"/>
      <c r="C54" s="184"/>
      <c r="D54" s="184" t="str">
        <f t="shared" si="0"/>
        <v/>
      </c>
      <c r="E54" s="170" t="str">
        <f t="shared" si="1"/>
        <v/>
      </c>
      <c r="F54" s="170"/>
      <c r="G54" s="170"/>
      <c r="H54" s="170"/>
      <c r="I54" s="170"/>
      <c r="J54" s="170"/>
      <c r="K54" s="170"/>
      <c r="L54" s="170"/>
      <c r="M54" s="170"/>
      <c r="N54" s="170"/>
      <c r="O54" s="201"/>
    </row>
    <row r="55" spans="1:15" s="139" customFormat="1" ht="15.75">
      <c r="A55" s="205" t="str">
        <f>IF(ISNA(VLOOKUP(D55,'Standard Smelter Names'!$B$3:$E$153,4,FALSE)),"",VLOOKUP(D55,'Standard Smelter Names'!$B$3:$E$153,4,FALSE))</f>
        <v/>
      </c>
      <c r="B55" s="170"/>
      <c r="C55" s="184"/>
      <c r="D55" s="184" t="str">
        <f t="shared" si="0"/>
        <v/>
      </c>
      <c r="E55" s="170" t="str">
        <f t="shared" si="1"/>
        <v/>
      </c>
      <c r="F55" s="170"/>
      <c r="G55" s="170"/>
      <c r="H55" s="170"/>
      <c r="I55" s="170"/>
      <c r="J55" s="170"/>
      <c r="K55" s="170"/>
      <c r="L55" s="170"/>
      <c r="M55" s="170"/>
      <c r="N55" s="170"/>
      <c r="O55" s="201"/>
    </row>
    <row r="56" spans="1:15" s="139" customFormat="1" ht="15.75">
      <c r="A56" s="205" t="str">
        <f>IF(ISNA(VLOOKUP(D56,'Standard Smelter Names'!$B$3:$E$153,4,FALSE)),"",VLOOKUP(D56,'Standard Smelter Names'!$B$3:$E$153,4,FALSE))</f>
        <v/>
      </c>
      <c r="B56" s="170"/>
      <c r="C56" s="184"/>
      <c r="D56" s="184" t="str">
        <f t="shared" si="0"/>
        <v/>
      </c>
      <c r="E56" s="170" t="str">
        <f t="shared" si="1"/>
        <v/>
      </c>
      <c r="F56" s="170"/>
      <c r="G56" s="170"/>
      <c r="H56" s="170"/>
      <c r="I56" s="170"/>
      <c r="J56" s="170"/>
      <c r="K56" s="170"/>
      <c r="L56" s="170"/>
      <c r="M56" s="170"/>
      <c r="N56" s="170"/>
      <c r="O56" s="201"/>
    </row>
    <row r="57" spans="1:15" s="139" customFormat="1" ht="15.75">
      <c r="A57" s="205" t="str">
        <f>IF(ISNA(VLOOKUP(D57,'Standard Smelter Names'!$B$3:$E$153,4,FALSE)),"",VLOOKUP(D57,'Standard Smelter Names'!$B$3:$E$153,4,FALSE))</f>
        <v/>
      </c>
      <c r="B57" s="170"/>
      <c r="C57" s="184"/>
      <c r="D57" s="184" t="str">
        <f t="shared" si="0"/>
        <v/>
      </c>
      <c r="E57" s="170" t="str">
        <f t="shared" si="1"/>
        <v/>
      </c>
      <c r="F57" s="170"/>
      <c r="G57" s="170"/>
      <c r="H57" s="170"/>
      <c r="I57" s="170"/>
      <c r="J57" s="170"/>
      <c r="K57" s="170"/>
      <c r="L57" s="170"/>
      <c r="M57" s="170"/>
      <c r="N57" s="170"/>
      <c r="O57" s="201"/>
    </row>
    <row r="58" spans="1:15" s="139" customFormat="1" ht="15.75">
      <c r="A58" s="205" t="str">
        <f>IF(ISNA(VLOOKUP(D58,'Standard Smelter Names'!$B$3:$E$153,4,FALSE)),"",VLOOKUP(D58,'Standard Smelter Names'!$B$3:$E$153,4,FALSE))</f>
        <v/>
      </c>
      <c r="B58" s="170"/>
      <c r="C58" s="184"/>
      <c r="D58" s="184" t="str">
        <f t="shared" si="0"/>
        <v/>
      </c>
      <c r="E58" s="170" t="str">
        <f t="shared" si="1"/>
        <v/>
      </c>
      <c r="F58" s="170"/>
      <c r="G58" s="170"/>
      <c r="H58" s="170"/>
      <c r="I58" s="170"/>
      <c r="J58" s="170"/>
      <c r="K58" s="170"/>
      <c r="L58" s="170"/>
      <c r="M58" s="170"/>
      <c r="N58" s="170"/>
      <c r="O58" s="201"/>
    </row>
    <row r="59" spans="1:15" s="139" customFormat="1" ht="15.75">
      <c r="A59" s="205" t="str">
        <f>IF(ISNA(VLOOKUP(D59,'Standard Smelter Names'!$B$3:$E$153,4,FALSE)),"",VLOOKUP(D59,'Standard Smelter Names'!$B$3:$E$153,4,FALSE))</f>
        <v/>
      </c>
      <c r="B59" s="170"/>
      <c r="C59" s="184"/>
      <c r="D59" s="184" t="str">
        <f t="shared" si="0"/>
        <v/>
      </c>
      <c r="E59" s="170" t="str">
        <f t="shared" si="1"/>
        <v/>
      </c>
      <c r="F59" s="170"/>
      <c r="G59" s="170"/>
      <c r="H59" s="170"/>
      <c r="I59" s="170"/>
      <c r="J59" s="170"/>
      <c r="K59" s="170"/>
      <c r="L59" s="170"/>
      <c r="M59" s="170"/>
      <c r="N59" s="170"/>
      <c r="O59" s="201"/>
    </row>
    <row r="60" spans="1:15" s="139" customFormat="1" ht="15.75">
      <c r="A60" s="205" t="str">
        <f>IF(ISNA(VLOOKUP(D60,'Standard Smelter Names'!$B$3:$E$153,4,FALSE)),"",VLOOKUP(D60,'Standard Smelter Names'!$B$3:$E$153,4,FALSE))</f>
        <v/>
      </c>
      <c r="B60" s="170"/>
      <c r="C60" s="184"/>
      <c r="D60" s="184" t="str">
        <f t="shared" si="0"/>
        <v/>
      </c>
      <c r="E60" s="170" t="str">
        <f t="shared" si="1"/>
        <v/>
      </c>
      <c r="F60" s="170"/>
      <c r="G60" s="170"/>
      <c r="H60" s="170"/>
      <c r="I60" s="170"/>
      <c r="J60" s="170"/>
      <c r="K60" s="170"/>
      <c r="L60" s="170"/>
      <c r="M60" s="170"/>
      <c r="N60" s="170"/>
      <c r="O60" s="201"/>
    </row>
    <row r="61" spans="1:15" s="139" customFormat="1" ht="15.75">
      <c r="A61" s="205" t="str">
        <f>IF(ISNA(VLOOKUP(D61,'Standard Smelter Names'!$B$3:$E$153,4,FALSE)),"",VLOOKUP(D61,'Standard Smelter Names'!$B$3:$E$153,4,FALSE))</f>
        <v/>
      </c>
      <c r="B61" s="170"/>
      <c r="C61" s="184"/>
      <c r="D61" s="184" t="str">
        <f t="shared" si="0"/>
        <v/>
      </c>
      <c r="E61" s="170" t="str">
        <f t="shared" si="1"/>
        <v/>
      </c>
      <c r="F61" s="170"/>
      <c r="G61" s="170"/>
      <c r="H61" s="170"/>
      <c r="I61" s="170"/>
      <c r="J61" s="170"/>
      <c r="K61" s="170"/>
      <c r="L61" s="170"/>
      <c r="M61" s="170"/>
      <c r="N61" s="170"/>
      <c r="O61" s="201"/>
    </row>
    <row r="62" spans="1:15" s="139" customFormat="1" ht="15.75">
      <c r="A62" s="205" t="str">
        <f>IF(ISNA(VLOOKUP(D62,'Standard Smelter Names'!$B$3:$E$153,4,FALSE)),"",VLOOKUP(D62,'Standard Smelter Names'!$B$3:$E$153,4,FALSE))</f>
        <v/>
      </c>
      <c r="B62" s="170"/>
      <c r="C62" s="184"/>
      <c r="D62" s="184" t="str">
        <f t="shared" si="0"/>
        <v/>
      </c>
      <c r="E62" s="170" t="str">
        <f t="shared" si="1"/>
        <v/>
      </c>
      <c r="F62" s="170"/>
      <c r="G62" s="170"/>
      <c r="H62" s="170"/>
      <c r="I62" s="170"/>
      <c r="J62" s="170"/>
      <c r="K62" s="170"/>
      <c r="L62" s="170"/>
      <c r="M62" s="170"/>
      <c r="N62" s="170"/>
      <c r="O62" s="201"/>
    </row>
    <row r="63" spans="1:15" s="139" customFormat="1" ht="15.75">
      <c r="A63" s="205" t="str">
        <f>IF(ISNA(VLOOKUP(D63,'Standard Smelter Names'!$B$3:$E$153,4,FALSE)),"",VLOOKUP(D63,'Standard Smelter Names'!$B$3:$E$153,4,FALSE))</f>
        <v/>
      </c>
      <c r="B63" s="170"/>
      <c r="C63" s="184"/>
      <c r="D63" s="184" t="str">
        <f t="shared" si="0"/>
        <v/>
      </c>
      <c r="E63" s="170" t="str">
        <f t="shared" si="1"/>
        <v/>
      </c>
      <c r="F63" s="170"/>
      <c r="G63" s="170"/>
      <c r="H63" s="170"/>
      <c r="I63" s="170"/>
      <c r="J63" s="170"/>
      <c r="K63" s="170"/>
      <c r="L63" s="170"/>
      <c r="M63" s="170"/>
      <c r="N63" s="170"/>
      <c r="O63" s="201"/>
    </row>
    <row r="64" spans="1:15" s="139" customFormat="1" ht="15.75">
      <c r="A64" s="205" t="str">
        <f>IF(ISNA(VLOOKUP(D64,'Standard Smelter Names'!$B$3:$E$153,4,FALSE)),"",VLOOKUP(D64,'Standard Smelter Names'!$B$3:$E$153,4,FALSE))</f>
        <v/>
      </c>
      <c r="B64" s="170"/>
      <c r="C64" s="184"/>
      <c r="D64" s="184" t="str">
        <f t="shared" si="0"/>
        <v/>
      </c>
      <c r="E64" s="170" t="str">
        <f t="shared" si="1"/>
        <v/>
      </c>
      <c r="F64" s="170"/>
      <c r="G64" s="170"/>
      <c r="H64" s="170"/>
      <c r="I64" s="170"/>
      <c r="J64" s="170"/>
      <c r="K64" s="170"/>
      <c r="L64" s="170"/>
      <c r="M64" s="170"/>
      <c r="N64" s="170"/>
      <c r="O64" s="201"/>
    </row>
    <row r="65" spans="1:15" s="139" customFormat="1" ht="15.75">
      <c r="A65" s="205" t="str">
        <f>IF(ISNA(VLOOKUP(D65,'Standard Smelter Names'!$B$3:$E$153,4,FALSE)),"",VLOOKUP(D65,'Standard Smelter Names'!$B$3:$E$153,4,FALSE))</f>
        <v/>
      </c>
      <c r="B65" s="170"/>
      <c r="C65" s="184"/>
      <c r="D65" s="184" t="str">
        <f t="shared" si="0"/>
        <v/>
      </c>
      <c r="E65" s="170" t="str">
        <f t="shared" si="1"/>
        <v/>
      </c>
      <c r="F65" s="170"/>
      <c r="G65" s="170"/>
      <c r="H65" s="170"/>
      <c r="I65" s="170"/>
      <c r="J65" s="170"/>
      <c r="K65" s="170"/>
      <c r="L65" s="170"/>
      <c r="M65" s="170"/>
      <c r="N65" s="170"/>
      <c r="O65" s="201"/>
    </row>
    <row r="66" spans="1:15" s="139" customFormat="1" ht="15.75">
      <c r="A66" s="205" t="str">
        <f>IF(ISNA(VLOOKUP(D66,'Standard Smelter Names'!$B$3:$E$153,4,FALSE)),"",VLOOKUP(D66,'Standard Smelter Names'!$B$3:$E$153,4,FALSE))</f>
        <v/>
      </c>
      <c r="B66" s="170"/>
      <c r="C66" s="184"/>
      <c r="D66" s="184" t="str">
        <f t="shared" si="0"/>
        <v/>
      </c>
      <c r="E66" s="170" t="str">
        <f t="shared" si="1"/>
        <v/>
      </c>
      <c r="F66" s="170"/>
      <c r="G66" s="170"/>
      <c r="H66" s="170"/>
      <c r="I66" s="170"/>
      <c r="J66" s="170"/>
      <c r="K66" s="170"/>
      <c r="L66" s="170"/>
      <c r="M66" s="170"/>
      <c r="N66" s="170"/>
      <c r="O66" s="201"/>
    </row>
    <row r="67" spans="1:15" s="139" customFormat="1" ht="15.75">
      <c r="A67" s="205" t="str">
        <f>IF(ISNA(VLOOKUP(D67,'Standard Smelter Names'!$B$3:$E$153,4,FALSE)),"",VLOOKUP(D67,'Standard Smelter Names'!$B$3:$E$153,4,FALSE))</f>
        <v/>
      </c>
      <c r="B67" s="170"/>
      <c r="C67" s="184"/>
      <c r="D67" s="184" t="str">
        <f t="shared" si="0"/>
        <v/>
      </c>
      <c r="E67" s="170" t="str">
        <f t="shared" si="1"/>
        <v/>
      </c>
      <c r="F67" s="170"/>
      <c r="G67" s="170"/>
      <c r="H67" s="170"/>
      <c r="I67" s="170"/>
      <c r="J67" s="170"/>
      <c r="K67" s="170"/>
      <c r="L67" s="170"/>
      <c r="M67" s="170"/>
      <c r="N67" s="170"/>
      <c r="O67" s="201"/>
    </row>
    <row r="68" spans="1:15" s="139" customFormat="1" ht="15.75">
      <c r="A68" s="205" t="str">
        <f>IF(ISNA(VLOOKUP(D68,'Standard Smelter Names'!$B$3:$E$153,4,FALSE)),"",VLOOKUP(D68,'Standard Smelter Names'!$B$3:$E$153,4,FALSE))</f>
        <v/>
      </c>
      <c r="B68" s="170"/>
      <c r="C68" s="184"/>
      <c r="D68" s="184" t="str">
        <f t="shared" si="0"/>
        <v/>
      </c>
      <c r="E68" s="170" t="str">
        <f t="shared" si="1"/>
        <v/>
      </c>
      <c r="F68" s="170"/>
      <c r="G68" s="170"/>
      <c r="H68" s="170"/>
      <c r="I68" s="170"/>
      <c r="J68" s="170"/>
      <c r="K68" s="170"/>
      <c r="L68" s="170"/>
      <c r="M68" s="170"/>
      <c r="N68" s="170"/>
      <c r="O68" s="201"/>
    </row>
    <row r="69" spans="1:15" s="139" customFormat="1" ht="15.75">
      <c r="A69" s="205" t="str">
        <f>IF(ISNA(VLOOKUP(D69,'Standard Smelter Names'!$B$3:$E$153,4,FALSE)),"",VLOOKUP(D69,'Standard Smelter Names'!$B$3:$E$153,4,FALSE))</f>
        <v/>
      </c>
      <c r="B69" s="170"/>
      <c r="C69" s="184"/>
      <c r="D69" s="184" t="str">
        <f t="shared" ref="D69:D132" si="2">IF(ISNA(VLOOKUP(C69,$G$1023:$I$1309,3,FALSE)),"",VLOOKUP(C69,$G$1023:$I$1309,3,FALSE))</f>
        <v/>
      </c>
      <c r="E69" s="170" t="str">
        <f t="shared" ref="E69:E132" si="3">IF(ISNA(VLOOKUP(C69,$G$1023:$I$1309,2,FALSE)),"",VLOOKUP(C69,$G$1023:$I$1309,2,FALSE))</f>
        <v/>
      </c>
      <c r="F69" s="170"/>
      <c r="G69" s="170"/>
      <c r="H69" s="170"/>
      <c r="I69" s="170"/>
      <c r="J69" s="170"/>
      <c r="K69" s="170"/>
      <c r="L69" s="170"/>
      <c r="M69" s="170"/>
      <c r="N69" s="170"/>
      <c r="O69" s="201"/>
    </row>
    <row r="70" spans="1:15" s="139" customFormat="1" ht="15.75">
      <c r="A70" s="205" t="str">
        <f>IF(ISNA(VLOOKUP(D70,'Standard Smelter Names'!$B$3:$E$153,4,FALSE)),"",VLOOKUP(D70,'Standard Smelter Names'!$B$3:$E$153,4,FALSE))</f>
        <v/>
      </c>
      <c r="B70" s="170"/>
      <c r="C70" s="184"/>
      <c r="D70" s="184" t="str">
        <f t="shared" si="2"/>
        <v/>
      </c>
      <c r="E70" s="170" t="str">
        <f t="shared" si="3"/>
        <v/>
      </c>
      <c r="F70" s="170"/>
      <c r="G70" s="170"/>
      <c r="H70" s="170"/>
      <c r="I70" s="170"/>
      <c r="J70" s="170"/>
      <c r="K70" s="170"/>
      <c r="L70" s="170"/>
      <c r="M70" s="170"/>
      <c r="N70" s="170"/>
      <c r="O70" s="201"/>
    </row>
    <row r="71" spans="1:15" s="139" customFormat="1" ht="15.75">
      <c r="A71" s="205" t="str">
        <f>IF(ISNA(VLOOKUP(D71,'Standard Smelter Names'!$B$3:$E$153,4,FALSE)),"",VLOOKUP(D71,'Standard Smelter Names'!$B$3:$E$153,4,FALSE))</f>
        <v/>
      </c>
      <c r="B71" s="170"/>
      <c r="C71" s="184"/>
      <c r="D71" s="184" t="str">
        <f t="shared" si="2"/>
        <v/>
      </c>
      <c r="E71" s="170" t="str">
        <f t="shared" si="3"/>
        <v/>
      </c>
      <c r="F71" s="170"/>
      <c r="G71" s="170"/>
      <c r="H71" s="170"/>
      <c r="I71" s="170"/>
      <c r="J71" s="170"/>
      <c r="K71" s="170"/>
      <c r="L71" s="170"/>
      <c r="M71" s="170"/>
      <c r="N71" s="170"/>
      <c r="O71" s="201"/>
    </row>
    <row r="72" spans="1:15" s="139" customFormat="1" ht="15.75">
      <c r="A72" s="205" t="str">
        <f>IF(ISNA(VLOOKUP(D72,'Standard Smelter Names'!$B$3:$E$153,4,FALSE)),"",VLOOKUP(D72,'Standard Smelter Names'!$B$3:$E$153,4,FALSE))</f>
        <v/>
      </c>
      <c r="B72" s="170"/>
      <c r="C72" s="184"/>
      <c r="D72" s="184" t="str">
        <f t="shared" si="2"/>
        <v/>
      </c>
      <c r="E72" s="170" t="str">
        <f t="shared" si="3"/>
        <v/>
      </c>
      <c r="F72" s="170"/>
      <c r="G72" s="170"/>
      <c r="H72" s="170"/>
      <c r="I72" s="170"/>
      <c r="J72" s="170"/>
      <c r="K72" s="170"/>
      <c r="L72" s="170"/>
      <c r="M72" s="170"/>
      <c r="N72" s="170"/>
      <c r="O72" s="201"/>
    </row>
    <row r="73" spans="1:15" s="139" customFormat="1" ht="15.75">
      <c r="A73" s="205" t="str">
        <f>IF(ISNA(VLOOKUP(D73,'Standard Smelter Names'!$B$3:$E$153,4,FALSE)),"",VLOOKUP(D73,'Standard Smelter Names'!$B$3:$E$153,4,FALSE))</f>
        <v/>
      </c>
      <c r="B73" s="170"/>
      <c r="C73" s="184"/>
      <c r="D73" s="184" t="str">
        <f t="shared" si="2"/>
        <v/>
      </c>
      <c r="E73" s="170" t="str">
        <f t="shared" si="3"/>
        <v/>
      </c>
      <c r="F73" s="170"/>
      <c r="G73" s="170"/>
      <c r="H73" s="170"/>
      <c r="I73" s="170"/>
      <c r="J73" s="170"/>
      <c r="K73" s="170"/>
      <c r="L73" s="170"/>
      <c r="M73" s="170"/>
      <c r="N73" s="170"/>
      <c r="O73" s="201"/>
    </row>
    <row r="74" spans="1:15" s="139" customFormat="1" ht="15.75">
      <c r="A74" s="205" t="str">
        <f>IF(ISNA(VLOOKUP(D74,'Standard Smelter Names'!$B$3:$E$153,4,FALSE)),"",VLOOKUP(D74,'Standard Smelter Names'!$B$3:$E$153,4,FALSE))</f>
        <v/>
      </c>
      <c r="B74" s="170"/>
      <c r="C74" s="184"/>
      <c r="D74" s="184" t="str">
        <f t="shared" si="2"/>
        <v/>
      </c>
      <c r="E74" s="170" t="str">
        <f t="shared" si="3"/>
        <v/>
      </c>
      <c r="F74" s="170"/>
      <c r="G74" s="170"/>
      <c r="H74" s="170"/>
      <c r="I74" s="170"/>
      <c r="J74" s="170"/>
      <c r="K74" s="170"/>
      <c r="L74" s="170"/>
      <c r="M74" s="170"/>
      <c r="N74" s="170"/>
      <c r="O74" s="201"/>
    </row>
    <row r="75" spans="1:15" s="139" customFormat="1" ht="15.75">
      <c r="A75" s="205" t="str">
        <f>IF(ISNA(VLOOKUP(D75,'Standard Smelter Names'!$B$3:$E$153,4,FALSE)),"",VLOOKUP(D75,'Standard Smelter Names'!$B$3:$E$153,4,FALSE))</f>
        <v/>
      </c>
      <c r="B75" s="170"/>
      <c r="C75" s="184"/>
      <c r="D75" s="184" t="str">
        <f t="shared" si="2"/>
        <v/>
      </c>
      <c r="E75" s="170" t="str">
        <f t="shared" si="3"/>
        <v/>
      </c>
      <c r="F75" s="170"/>
      <c r="G75" s="170"/>
      <c r="H75" s="170"/>
      <c r="I75" s="170"/>
      <c r="J75" s="170"/>
      <c r="K75" s="170"/>
      <c r="L75" s="170"/>
      <c r="M75" s="170"/>
      <c r="N75" s="170"/>
      <c r="O75" s="201"/>
    </row>
    <row r="76" spans="1:15" s="139" customFormat="1" ht="15.75">
      <c r="A76" s="205" t="str">
        <f>IF(ISNA(VLOOKUP(D76,'Standard Smelter Names'!$B$3:$E$153,4,FALSE)),"",VLOOKUP(D76,'Standard Smelter Names'!$B$3:$E$153,4,FALSE))</f>
        <v/>
      </c>
      <c r="B76" s="170"/>
      <c r="C76" s="184"/>
      <c r="D76" s="184" t="str">
        <f t="shared" si="2"/>
        <v/>
      </c>
      <c r="E76" s="170" t="str">
        <f t="shared" si="3"/>
        <v/>
      </c>
      <c r="F76" s="170"/>
      <c r="G76" s="170"/>
      <c r="H76" s="170"/>
      <c r="I76" s="170"/>
      <c r="J76" s="170"/>
      <c r="K76" s="170"/>
      <c r="L76" s="170"/>
      <c r="M76" s="170"/>
      <c r="N76" s="170"/>
      <c r="O76" s="201"/>
    </row>
    <row r="77" spans="1:15" s="139" customFormat="1" ht="15.75">
      <c r="A77" s="205" t="str">
        <f>IF(ISNA(VLOOKUP(D77,'Standard Smelter Names'!$B$3:$E$153,4,FALSE)),"",VLOOKUP(D77,'Standard Smelter Names'!$B$3:$E$153,4,FALSE))</f>
        <v/>
      </c>
      <c r="B77" s="170"/>
      <c r="C77" s="184"/>
      <c r="D77" s="184" t="str">
        <f t="shared" si="2"/>
        <v/>
      </c>
      <c r="E77" s="170" t="str">
        <f t="shared" si="3"/>
        <v/>
      </c>
      <c r="F77" s="170"/>
      <c r="G77" s="170"/>
      <c r="H77" s="170"/>
      <c r="I77" s="170"/>
      <c r="J77" s="170"/>
      <c r="K77" s="170"/>
      <c r="L77" s="170"/>
      <c r="M77" s="170"/>
      <c r="N77" s="170"/>
      <c r="O77" s="201"/>
    </row>
    <row r="78" spans="1:15" s="139" customFormat="1" ht="15.75">
      <c r="A78" s="205" t="str">
        <f>IF(ISNA(VLOOKUP(D78,'Standard Smelter Names'!$B$3:$E$153,4,FALSE)),"",VLOOKUP(D78,'Standard Smelter Names'!$B$3:$E$153,4,FALSE))</f>
        <v/>
      </c>
      <c r="B78" s="170"/>
      <c r="C78" s="184"/>
      <c r="D78" s="184" t="str">
        <f t="shared" si="2"/>
        <v/>
      </c>
      <c r="E78" s="170" t="str">
        <f t="shared" si="3"/>
        <v/>
      </c>
      <c r="F78" s="170"/>
      <c r="G78" s="170"/>
      <c r="H78" s="170"/>
      <c r="I78" s="170"/>
      <c r="J78" s="170"/>
      <c r="K78" s="170"/>
      <c r="L78" s="170"/>
      <c r="M78" s="170"/>
      <c r="N78" s="170"/>
      <c r="O78" s="201"/>
    </row>
    <row r="79" spans="1:15" s="139" customFormat="1" ht="15.75">
      <c r="A79" s="205" t="str">
        <f>IF(ISNA(VLOOKUP(D79,'Standard Smelter Names'!$B$3:$E$153,4,FALSE)),"",VLOOKUP(D79,'Standard Smelter Names'!$B$3:$E$153,4,FALSE))</f>
        <v/>
      </c>
      <c r="B79" s="170"/>
      <c r="C79" s="184"/>
      <c r="D79" s="184" t="str">
        <f t="shared" si="2"/>
        <v/>
      </c>
      <c r="E79" s="170" t="str">
        <f t="shared" si="3"/>
        <v/>
      </c>
      <c r="F79" s="170"/>
      <c r="G79" s="170"/>
      <c r="H79" s="170"/>
      <c r="I79" s="170"/>
      <c r="J79" s="170"/>
      <c r="K79" s="170"/>
      <c r="L79" s="170"/>
      <c r="M79" s="170"/>
      <c r="N79" s="170"/>
      <c r="O79" s="201"/>
    </row>
    <row r="80" spans="1:15" s="139" customFormat="1" ht="15.75">
      <c r="A80" s="205" t="str">
        <f>IF(ISNA(VLOOKUP(D80,'Standard Smelter Names'!$B$3:$E$153,4,FALSE)),"",VLOOKUP(D80,'Standard Smelter Names'!$B$3:$E$153,4,FALSE))</f>
        <v/>
      </c>
      <c r="B80" s="170"/>
      <c r="C80" s="184"/>
      <c r="D80" s="184" t="str">
        <f t="shared" si="2"/>
        <v/>
      </c>
      <c r="E80" s="170" t="str">
        <f t="shared" si="3"/>
        <v/>
      </c>
      <c r="F80" s="170"/>
      <c r="G80" s="170"/>
      <c r="H80" s="170"/>
      <c r="I80" s="170"/>
      <c r="J80" s="170"/>
      <c r="K80" s="170"/>
      <c r="L80" s="170"/>
      <c r="M80" s="170"/>
      <c r="N80" s="170"/>
      <c r="O80" s="201"/>
    </row>
    <row r="81" spans="1:15" s="139" customFormat="1" ht="15.75">
      <c r="A81" s="205" t="str">
        <f>IF(ISNA(VLOOKUP(D81,'Standard Smelter Names'!$B$3:$E$153,4,FALSE)),"",VLOOKUP(D81,'Standard Smelter Names'!$B$3:$E$153,4,FALSE))</f>
        <v/>
      </c>
      <c r="B81" s="170"/>
      <c r="C81" s="184"/>
      <c r="D81" s="184" t="str">
        <f t="shared" si="2"/>
        <v/>
      </c>
      <c r="E81" s="170" t="str">
        <f t="shared" si="3"/>
        <v/>
      </c>
      <c r="F81" s="170"/>
      <c r="G81" s="170"/>
      <c r="H81" s="170"/>
      <c r="I81" s="170"/>
      <c r="J81" s="170"/>
      <c r="K81" s="170"/>
      <c r="L81" s="170"/>
      <c r="M81" s="170"/>
      <c r="N81" s="170"/>
      <c r="O81" s="201"/>
    </row>
    <row r="82" spans="1:15" s="139" customFormat="1" ht="15.75">
      <c r="A82" s="205" t="str">
        <f>IF(ISNA(VLOOKUP(D82,'Standard Smelter Names'!$B$3:$E$153,4,FALSE)),"",VLOOKUP(D82,'Standard Smelter Names'!$B$3:$E$153,4,FALSE))</f>
        <v/>
      </c>
      <c r="B82" s="170"/>
      <c r="C82" s="184"/>
      <c r="D82" s="184" t="str">
        <f t="shared" si="2"/>
        <v/>
      </c>
      <c r="E82" s="170" t="str">
        <f t="shared" si="3"/>
        <v/>
      </c>
      <c r="F82" s="170"/>
      <c r="G82" s="170"/>
      <c r="H82" s="170"/>
      <c r="I82" s="170"/>
      <c r="J82" s="170"/>
      <c r="K82" s="170"/>
      <c r="L82" s="170"/>
      <c r="M82" s="170"/>
      <c r="N82" s="170"/>
      <c r="O82" s="201"/>
    </row>
    <row r="83" spans="1:15" s="139" customFormat="1" ht="15.75">
      <c r="A83" s="205" t="str">
        <f>IF(ISNA(VLOOKUP(D83,'Standard Smelter Names'!$B$3:$E$153,4,FALSE)),"",VLOOKUP(D83,'Standard Smelter Names'!$B$3:$E$153,4,FALSE))</f>
        <v/>
      </c>
      <c r="B83" s="170"/>
      <c r="C83" s="184"/>
      <c r="D83" s="184" t="str">
        <f t="shared" si="2"/>
        <v/>
      </c>
      <c r="E83" s="170" t="str">
        <f t="shared" si="3"/>
        <v/>
      </c>
      <c r="F83" s="170"/>
      <c r="G83" s="170"/>
      <c r="H83" s="170"/>
      <c r="I83" s="170"/>
      <c r="J83" s="170"/>
      <c r="K83" s="170"/>
      <c r="L83" s="170"/>
      <c r="M83" s="170"/>
      <c r="N83" s="170"/>
      <c r="O83" s="201"/>
    </row>
    <row r="84" spans="1:15" s="139" customFormat="1" ht="15.75">
      <c r="A84" s="205" t="str">
        <f>IF(ISNA(VLOOKUP(D84,'Standard Smelter Names'!$B$3:$E$153,4,FALSE)),"",VLOOKUP(D84,'Standard Smelter Names'!$B$3:$E$153,4,FALSE))</f>
        <v/>
      </c>
      <c r="B84" s="170"/>
      <c r="C84" s="184"/>
      <c r="D84" s="184" t="str">
        <f t="shared" si="2"/>
        <v/>
      </c>
      <c r="E84" s="170" t="str">
        <f t="shared" si="3"/>
        <v/>
      </c>
      <c r="F84" s="170"/>
      <c r="G84" s="170"/>
      <c r="H84" s="170"/>
      <c r="I84" s="170"/>
      <c r="J84" s="170"/>
      <c r="K84" s="170"/>
      <c r="L84" s="170"/>
      <c r="M84" s="170"/>
      <c r="N84" s="170"/>
      <c r="O84" s="201"/>
    </row>
    <row r="85" spans="1:15" s="139" customFormat="1" ht="15.75">
      <c r="A85" s="205" t="str">
        <f>IF(ISNA(VLOOKUP(D85,'Standard Smelter Names'!$B$3:$E$153,4,FALSE)),"",VLOOKUP(D85,'Standard Smelter Names'!$B$3:$E$153,4,FALSE))</f>
        <v/>
      </c>
      <c r="B85" s="170"/>
      <c r="C85" s="184"/>
      <c r="D85" s="184" t="str">
        <f t="shared" si="2"/>
        <v/>
      </c>
      <c r="E85" s="170" t="str">
        <f t="shared" si="3"/>
        <v/>
      </c>
      <c r="F85" s="170"/>
      <c r="G85" s="170"/>
      <c r="H85" s="170"/>
      <c r="I85" s="170"/>
      <c r="J85" s="170"/>
      <c r="K85" s="170"/>
      <c r="L85" s="170"/>
      <c r="M85" s="170"/>
      <c r="N85" s="170"/>
      <c r="O85" s="201"/>
    </row>
    <row r="86" spans="1:15" s="139" customFormat="1" ht="15.75">
      <c r="A86" s="205" t="str">
        <f>IF(ISNA(VLOOKUP(D86,'Standard Smelter Names'!$B$3:$E$153,4,FALSE)),"",VLOOKUP(D86,'Standard Smelter Names'!$B$3:$E$153,4,FALSE))</f>
        <v/>
      </c>
      <c r="B86" s="170"/>
      <c r="C86" s="184"/>
      <c r="D86" s="184" t="str">
        <f t="shared" si="2"/>
        <v/>
      </c>
      <c r="E86" s="170" t="str">
        <f t="shared" si="3"/>
        <v/>
      </c>
      <c r="F86" s="170"/>
      <c r="G86" s="170"/>
      <c r="H86" s="170"/>
      <c r="I86" s="170"/>
      <c r="J86" s="170"/>
      <c r="K86" s="170"/>
      <c r="L86" s="170"/>
      <c r="M86" s="170"/>
      <c r="N86" s="170"/>
      <c r="O86" s="201"/>
    </row>
    <row r="87" spans="1:15" s="139" customFormat="1" ht="15.75">
      <c r="A87" s="205" t="str">
        <f>IF(ISNA(VLOOKUP(D87,'Standard Smelter Names'!$B$3:$E$153,4,FALSE)),"",VLOOKUP(D87,'Standard Smelter Names'!$B$3:$E$153,4,FALSE))</f>
        <v/>
      </c>
      <c r="B87" s="170"/>
      <c r="C87" s="184"/>
      <c r="D87" s="184" t="str">
        <f t="shared" si="2"/>
        <v/>
      </c>
      <c r="E87" s="170" t="str">
        <f t="shared" si="3"/>
        <v/>
      </c>
      <c r="F87" s="170"/>
      <c r="G87" s="170"/>
      <c r="H87" s="170"/>
      <c r="I87" s="170"/>
      <c r="J87" s="170"/>
      <c r="K87" s="170"/>
      <c r="L87" s="170"/>
      <c r="M87" s="170"/>
      <c r="N87" s="170"/>
      <c r="O87" s="201"/>
    </row>
    <row r="88" spans="1:15" s="139" customFormat="1" ht="15.75">
      <c r="A88" s="205" t="str">
        <f>IF(ISNA(VLOOKUP(D88,'Standard Smelter Names'!$B$3:$E$153,4,FALSE)),"",VLOOKUP(D88,'Standard Smelter Names'!$B$3:$E$153,4,FALSE))</f>
        <v/>
      </c>
      <c r="B88" s="170"/>
      <c r="C88" s="184"/>
      <c r="D88" s="184" t="str">
        <f t="shared" si="2"/>
        <v/>
      </c>
      <c r="E88" s="170" t="str">
        <f t="shared" si="3"/>
        <v/>
      </c>
      <c r="F88" s="170"/>
      <c r="G88" s="170"/>
      <c r="H88" s="170"/>
      <c r="I88" s="170"/>
      <c r="J88" s="170"/>
      <c r="K88" s="170"/>
      <c r="L88" s="170"/>
      <c r="M88" s="170"/>
      <c r="N88" s="170"/>
      <c r="O88" s="201"/>
    </row>
    <row r="89" spans="1:15" s="139" customFormat="1" ht="15.75">
      <c r="A89" s="205" t="str">
        <f>IF(ISNA(VLOOKUP(D89,'Standard Smelter Names'!$B$3:$E$153,4,FALSE)),"",VLOOKUP(D89,'Standard Smelter Names'!$B$3:$E$153,4,FALSE))</f>
        <v/>
      </c>
      <c r="B89" s="170"/>
      <c r="C89" s="184"/>
      <c r="D89" s="184" t="str">
        <f t="shared" si="2"/>
        <v/>
      </c>
      <c r="E89" s="170" t="str">
        <f t="shared" si="3"/>
        <v/>
      </c>
      <c r="F89" s="170"/>
      <c r="G89" s="170"/>
      <c r="H89" s="170"/>
      <c r="I89" s="170"/>
      <c r="J89" s="170"/>
      <c r="K89" s="170"/>
      <c r="L89" s="170"/>
      <c r="M89" s="170"/>
      <c r="N89" s="170"/>
      <c r="O89" s="201"/>
    </row>
    <row r="90" spans="1:15" s="139" customFormat="1" ht="15.75">
      <c r="A90" s="205" t="str">
        <f>IF(ISNA(VLOOKUP(D90,'Standard Smelter Names'!$B$3:$E$153,4,FALSE)),"",VLOOKUP(D90,'Standard Smelter Names'!$B$3:$E$153,4,FALSE))</f>
        <v/>
      </c>
      <c r="B90" s="170"/>
      <c r="C90" s="184"/>
      <c r="D90" s="184" t="str">
        <f t="shared" si="2"/>
        <v/>
      </c>
      <c r="E90" s="170" t="str">
        <f t="shared" si="3"/>
        <v/>
      </c>
      <c r="F90" s="170"/>
      <c r="G90" s="170"/>
      <c r="H90" s="170"/>
      <c r="I90" s="170"/>
      <c r="J90" s="170"/>
      <c r="K90" s="170"/>
      <c r="L90" s="170"/>
      <c r="M90" s="170"/>
      <c r="N90" s="170"/>
      <c r="O90" s="201"/>
    </row>
    <row r="91" spans="1:15" s="139" customFormat="1" ht="15.75">
      <c r="A91" s="205" t="str">
        <f>IF(ISNA(VLOOKUP(D91,'Standard Smelter Names'!$B$3:$E$153,4,FALSE)),"",VLOOKUP(D91,'Standard Smelter Names'!$B$3:$E$153,4,FALSE))</f>
        <v/>
      </c>
      <c r="B91" s="170"/>
      <c r="C91" s="184"/>
      <c r="D91" s="184" t="str">
        <f t="shared" si="2"/>
        <v/>
      </c>
      <c r="E91" s="170" t="str">
        <f t="shared" si="3"/>
        <v/>
      </c>
      <c r="F91" s="170"/>
      <c r="G91" s="170"/>
      <c r="H91" s="170"/>
      <c r="I91" s="170"/>
      <c r="J91" s="170"/>
      <c r="K91" s="170"/>
      <c r="L91" s="170"/>
      <c r="M91" s="170"/>
      <c r="N91" s="170"/>
      <c r="O91" s="201"/>
    </row>
    <row r="92" spans="1:15" s="139" customFormat="1" ht="15.75">
      <c r="A92" s="205" t="str">
        <f>IF(ISNA(VLOOKUP(D92,'Standard Smelter Names'!$B$3:$E$153,4,FALSE)),"",VLOOKUP(D92,'Standard Smelter Names'!$B$3:$E$153,4,FALSE))</f>
        <v/>
      </c>
      <c r="B92" s="170"/>
      <c r="C92" s="184"/>
      <c r="D92" s="184" t="str">
        <f t="shared" si="2"/>
        <v/>
      </c>
      <c r="E92" s="170" t="str">
        <f t="shared" si="3"/>
        <v/>
      </c>
      <c r="F92" s="170"/>
      <c r="G92" s="170"/>
      <c r="H92" s="170"/>
      <c r="I92" s="170"/>
      <c r="J92" s="170"/>
      <c r="K92" s="170"/>
      <c r="L92" s="170"/>
      <c r="M92" s="170"/>
      <c r="N92" s="170"/>
      <c r="O92" s="201"/>
    </row>
    <row r="93" spans="1:15" s="139" customFormat="1" ht="15.75">
      <c r="A93" s="205" t="str">
        <f>IF(ISNA(VLOOKUP(D93,'Standard Smelter Names'!$B$3:$E$153,4,FALSE)),"",VLOOKUP(D93,'Standard Smelter Names'!$B$3:$E$153,4,FALSE))</f>
        <v/>
      </c>
      <c r="B93" s="170"/>
      <c r="C93" s="184"/>
      <c r="D93" s="184" t="str">
        <f t="shared" si="2"/>
        <v/>
      </c>
      <c r="E93" s="170" t="str">
        <f t="shared" si="3"/>
        <v/>
      </c>
      <c r="F93" s="170"/>
      <c r="G93" s="170"/>
      <c r="H93" s="170"/>
      <c r="I93" s="170"/>
      <c r="J93" s="170"/>
      <c r="K93" s="170"/>
      <c r="L93" s="170"/>
      <c r="M93" s="170"/>
      <c r="N93" s="170"/>
      <c r="O93" s="201"/>
    </row>
    <row r="94" spans="1:15" s="139" customFormat="1" ht="15.75">
      <c r="A94" s="205" t="str">
        <f>IF(ISNA(VLOOKUP(D94,'Standard Smelter Names'!$B$3:$E$153,4,FALSE)),"",VLOOKUP(D94,'Standard Smelter Names'!$B$3:$E$153,4,FALSE))</f>
        <v/>
      </c>
      <c r="B94" s="170"/>
      <c r="C94" s="184"/>
      <c r="D94" s="184" t="str">
        <f t="shared" si="2"/>
        <v/>
      </c>
      <c r="E94" s="170" t="str">
        <f t="shared" si="3"/>
        <v/>
      </c>
      <c r="F94" s="170"/>
      <c r="G94" s="170"/>
      <c r="H94" s="170"/>
      <c r="I94" s="170"/>
      <c r="J94" s="170"/>
      <c r="K94" s="170"/>
      <c r="L94" s="170"/>
      <c r="M94" s="170"/>
      <c r="N94" s="170"/>
      <c r="O94" s="201"/>
    </row>
    <row r="95" spans="1:15" s="139" customFormat="1" ht="15.75">
      <c r="A95" s="205" t="str">
        <f>IF(ISNA(VLOOKUP(D95,'Standard Smelter Names'!$B$3:$E$153,4,FALSE)),"",VLOOKUP(D95,'Standard Smelter Names'!$B$3:$E$153,4,FALSE))</f>
        <v/>
      </c>
      <c r="B95" s="170"/>
      <c r="C95" s="184"/>
      <c r="D95" s="184" t="str">
        <f t="shared" si="2"/>
        <v/>
      </c>
      <c r="E95" s="170" t="str">
        <f t="shared" si="3"/>
        <v/>
      </c>
      <c r="F95" s="170"/>
      <c r="G95" s="170"/>
      <c r="H95" s="170"/>
      <c r="I95" s="170"/>
      <c r="J95" s="170"/>
      <c r="K95" s="170"/>
      <c r="L95" s="170"/>
      <c r="M95" s="170"/>
      <c r="N95" s="170"/>
      <c r="O95" s="201"/>
    </row>
    <row r="96" spans="1:15" s="139" customFormat="1" ht="15.75">
      <c r="A96" s="205" t="str">
        <f>IF(ISNA(VLOOKUP(D96,'Standard Smelter Names'!$B$3:$E$153,4,FALSE)),"",VLOOKUP(D96,'Standard Smelter Names'!$B$3:$E$153,4,FALSE))</f>
        <v/>
      </c>
      <c r="B96" s="170"/>
      <c r="C96" s="184"/>
      <c r="D96" s="184" t="str">
        <f t="shared" si="2"/>
        <v/>
      </c>
      <c r="E96" s="170" t="str">
        <f t="shared" si="3"/>
        <v/>
      </c>
      <c r="F96" s="170"/>
      <c r="G96" s="170"/>
      <c r="H96" s="170"/>
      <c r="I96" s="170"/>
      <c r="J96" s="170"/>
      <c r="K96" s="170"/>
      <c r="L96" s="170"/>
      <c r="M96" s="170"/>
      <c r="N96" s="170"/>
      <c r="O96" s="201"/>
    </row>
    <row r="97" spans="1:15" s="139" customFormat="1" ht="15.75">
      <c r="A97" s="205" t="str">
        <f>IF(ISNA(VLOOKUP(D97,'Standard Smelter Names'!$B$3:$E$153,4,FALSE)),"",VLOOKUP(D97,'Standard Smelter Names'!$B$3:$E$153,4,FALSE))</f>
        <v/>
      </c>
      <c r="B97" s="170"/>
      <c r="C97" s="184"/>
      <c r="D97" s="184" t="str">
        <f t="shared" si="2"/>
        <v/>
      </c>
      <c r="E97" s="170" t="str">
        <f t="shared" si="3"/>
        <v/>
      </c>
      <c r="F97" s="170"/>
      <c r="G97" s="170"/>
      <c r="H97" s="170"/>
      <c r="I97" s="170"/>
      <c r="J97" s="170"/>
      <c r="K97" s="170"/>
      <c r="L97" s="170"/>
      <c r="M97" s="170"/>
      <c r="N97" s="170"/>
      <c r="O97" s="201"/>
    </row>
    <row r="98" spans="1:15" s="139" customFormat="1" ht="15.75">
      <c r="A98" s="205" t="str">
        <f>IF(ISNA(VLOOKUP(D98,'Standard Smelter Names'!$B$3:$E$153,4,FALSE)),"",VLOOKUP(D98,'Standard Smelter Names'!$B$3:$E$153,4,FALSE))</f>
        <v/>
      </c>
      <c r="B98" s="170"/>
      <c r="C98" s="184"/>
      <c r="D98" s="184" t="str">
        <f t="shared" si="2"/>
        <v/>
      </c>
      <c r="E98" s="170" t="str">
        <f t="shared" si="3"/>
        <v/>
      </c>
      <c r="F98" s="170"/>
      <c r="G98" s="170"/>
      <c r="H98" s="170"/>
      <c r="I98" s="170"/>
      <c r="J98" s="170"/>
      <c r="K98" s="170"/>
      <c r="L98" s="170"/>
      <c r="M98" s="170"/>
      <c r="N98" s="170"/>
      <c r="O98" s="201"/>
    </row>
    <row r="99" spans="1:15" s="139" customFormat="1" ht="15.75">
      <c r="A99" s="205" t="str">
        <f>IF(ISNA(VLOOKUP(D99,'Standard Smelter Names'!$B$3:$E$153,4,FALSE)),"",VLOOKUP(D99,'Standard Smelter Names'!$B$3:$E$153,4,FALSE))</f>
        <v/>
      </c>
      <c r="B99" s="170"/>
      <c r="C99" s="184"/>
      <c r="D99" s="184" t="str">
        <f t="shared" si="2"/>
        <v/>
      </c>
      <c r="E99" s="170" t="str">
        <f t="shared" si="3"/>
        <v/>
      </c>
      <c r="F99" s="170"/>
      <c r="G99" s="170"/>
      <c r="H99" s="170"/>
      <c r="I99" s="170"/>
      <c r="J99" s="170"/>
      <c r="K99" s="170"/>
      <c r="L99" s="170"/>
      <c r="M99" s="170"/>
      <c r="N99" s="170"/>
      <c r="O99" s="201"/>
    </row>
    <row r="100" spans="1:15" s="139" customFormat="1" ht="15.75">
      <c r="A100" s="205" t="str">
        <f>IF(ISNA(VLOOKUP(D100,'Standard Smelter Names'!$B$3:$E$153,4,FALSE)),"",VLOOKUP(D100,'Standard Smelter Names'!$B$3:$E$153,4,FALSE))</f>
        <v/>
      </c>
      <c r="B100" s="170"/>
      <c r="C100" s="184"/>
      <c r="D100" s="184" t="str">
        <f t="shared" si="2"/>
        <v/>
      </c>
      <c r="E100" s="170" t="str">
        <f t="shared" si="3"/>
        <v/>
      </c>
      <c r="F100" s="170"/>
      <c r="G100" s="170"/>
      <c r="H100" s="170"/>
      <c r="I100" s="170"/>
      <c r="J100" s="170"/>
      <c r="K100" s="170"/>
      <c r="L100" s="170"/>
      <c r="M100" s="170"/>
      <c r="N100" s="170"/>
      <c r="O100" s="201"/>
    </row>
    <row r="101" spans="1:15" s="139" customFormat="1" ht="15.75">
      <c r="A101" s="205" t="str">
        <f>IF(ISNA(VLOOKUP(D101,'Standard Smelter Names'!$B$3:$E$153,4,FALSE)),"",VLOOKUP(D101,'Standard Smelter Names'!$B$3:$E$153,4,FALSE))</f>
        <v/>
      </c>
      <c r="B101" s="170"/>
      <c r="C101" s="184"/>
      <c r="D101" s="184" t="str">
        <f t="shared" si="2"/>
        <v/>
      </c>
      <c r="E101" s="170" t="str">
        <f t="shared" si="3"/>
        <v/>
      </c>
      <c r="F101" s="170"/>
      <c r="G101" s="170"/>
      <c r="H101" s="170"/>
      <c r="I101" s="170"/>
      <c r="J101" s="170"/>
      <c r="K101" s="170"/>
      <c r="L101" s="170"/>
      <c r="M101" s="170"/>
      <c r="N101" s="170"/>
      <c r="O101" s="201"/>
    </row>
    <row r="102" spans="1:15" s="139" customFormat="1" ht="15.75">
      <c r="A102" s="205" t="str">
        <f>IF(ISNA(VLOOKUP(D102,'Standard Smelter Names'!$B$3:$E$153,4,FALSE)),"",VLOOKUP(D102,'Standard Smelter Names'!$B$3:$E$153,4,FALSE))</f>
        <v/>
      </c>
      <c r="B102" s="170"/>
      <c r="C102" s="184"/>
      <c r="D102" s="184" t="str">
        <f t="shared" si="2"/>
        <v/>
      </c>
      <c r="E102" s="170" t="str">
        <f t="shared" si="3"/>
        <v/>
      </c>
      <c r="F102" s="170"/>
      <c r="G102" s="170"/>
      <c r="H102" s="170"/>
      <c r="I102" s="170"/>
      <c r="J102" s="170"/>
      <c r="K102" s="170"/>
      <c r="L102" s="170"/>
      <c r="M102" s="170"/>
      <c r="N102" s="170"/>
      <c r="O102" s="201"/>
    </row>
    <row r="103" spans="1:15" s="139" customFormat="1" ht="15.75">
      <c r="A103" s="205" t="str">
        <f>IF(ISNA(VLOOKUP(D103,'Standard Smelter Names'!$B$3:$E$153,4,FALSE)),"",VLOOKUP(D103,'Standard Smelter Names'!$B$3:$E$153,4,FALSE))</f>
        <v/>
      </c>
      <c r="B103" s="170"/>
      <c r="C103" s="184"/>
      <c r="D103" s="184" t="str">
        <f t="shared" si="2"/>
        <v/>
      </c>
      <c r="E103" s="170" t="str">
        <f t="shared" si="3"/>
        <v/>
      </c>
      <c r="F103" s="170"/>
      <c r="G103" s="170"/>
      <c r="H103" s="170"/>
      <c r="I103" s="170"/>
      <c r="J103" s="170"/>
      <c r="K103" s="170"/>
      <c r="L103" s="170"/>
      <c r="M103" s="170"/>
      <c r="N103" s="170"/>
      <c r="O103" s="201"/>
    </row>
    <row r="104" spans="1:15" s="139" customFormat="1" ht="15.75">
      <c r="A104" s="205" t="str">
        <f>IF(ISNA(VLOOKUP(D104,'Standard Smelter Names'!$B$3:$E$153,4,FALSE)),"",VLOOKUP(D104,'Standard Smelter Names'!$B$3:$E$153,4,FALSE))</f>
        <v/>
      </c>
      <c r="B104" s="170"/>
      <c r="C104" s="184"/>
      <c r="D104" s="184" t="str">
        <f t="shared" si="2"/>
        <v/>
      </c>
      <c r="E104" s="170" t="str">
        <f t="shared" si="3"/>
        <v/>
      </c>
      <c r="F104" s="170"/>
      <c r="G104" s="170"/>
      <c r="H104" s="170"/>
      <c r="I104" s="170"/>
      <c r="J104" s="170"/>
      <c r="K104" s="170"/>
      <c r="L104" s="170"/>
      <c r="M104" s="170"/>
      <c r="N104" s="170"/>
      <c r="O104" s="201"/>
    </row>
    <row r="105" spans="1:15" s="139" customFormat="1" ht="15.75">
      <c r="A105" s="205" t="str">
        <f>IF(ISNA(VLOOKUP(D105,'Standard Smelter Names'!$B$3:$E$153,4,FALSE)),"",VLOOKUP(D105,'Standard Smelter Names'!$B$3:$E$153,4,FALSE))</f>
        <v/>
      </c>
      <c r="B105" s="170"/>
      <c r="C105" s="184"/>
      <c r="D105" s="184" t="str">
        <f t="shared" si="2"/>
        <v/>
      </c>
      <c r="E105" s="170" t="str">
        <f t="shared" si="3"/>
        <v/>
      </c>
      <c r="F105" s="170"/>
      <c r="G105" s="170"/>
      <c r="H105" s="170"/>
      <c r="I105" s="170"/>
      <c r="J105" s="170"/>
      <c r="K105" s="170"/>
      <c r="L105" s="170"/>
      <c r="M105" s="170"/>
      <c r="N105" s="170"/>
      <c r="O105" s="201"/>
    </row>
    <row r="106" spans="1:15" s="139" customFormat="1" ht="15.75">
      <c r="A106" s="205" t="str">
        <f>IF(ISNA(VLOOKUP(D106,'Standard Smelter Names'!$B$3:$E$153,4,FALSE)),"",VLOOKUP(D106,'Standard Smelter Names'!$B$3:$E$153,4,FALSE))</f>
        <v/>
      </c>
      <c r="B106" s="170"/>
      <c r="C106" s="184"/>
      <c r="D106" s="184" t="str">
        <f t="shared" si="2"/>
        <v/>
      </c>
      <c r="E106" s="170" t="str">
        <f t="shared" si="3"/>
        <v/>
      </c>
      <c r="F106" s="170"/>
      <c r="G106" s="170"/>
      <c r="H106" s="170"/>
      <c r="I106" s="170"/>
      <c r="J106" s="170"/>
      <c r="K106" s="170"/>
      <c r="L106" s="170"/>
      <c r="M106" s="170"/>
      <c r="N106" s="170"/>
      <c r="O106" s="201"/>
    </row>
    <row r="107" spans="1:15" s="139" customFormat="1" ht="15.75">
      <c r="A107" s="205" t="str">
        <f>IF(ISNA(VLOOKUP(D107,'Standard Smelter Names'!$B$3:$E$153,4,FALSE)),"",VLOOKUP(D107,'Standard Smelter Names'!$B$3:$E$153,4,FALSE))</f>
        <v/>
      </c>
      <c r="B107" s="170"/>
      <c r="C107" s="184"/>
      <c r="D107" s="184" t="str">
        <f t="shared" si="2"/>
        <v/>
      </c>
      <c r="E107" s="170" t="str">
        <f t="shared" si="3"/>
        <v/>
      </c>
      <c r="F107" s="170"/>
      <c r="G107" s="170"/>
      <c r="H107" s="170"/>
      <c r="I107" s="170"/>
      <c r="J107" s="170"/>
      <c r="K107" s="170"/>
      <c r="L107" s="170"/>
      <c r="M107" s="170"/>
      <c r="N107" s="170"/>
      <c r="O107" s="201"/>
    </row>
    <row r="108" spans="1:15" s="139" customFormat="1" ht="15.75">
      <c r="A108" s="205" t="str">
        <f>IF(ISNA(VLOOKUP(D108,'Standard Smelter Names'!$B$3:$E$153,4,FALSE)),"",VLOOKUP(D108,'Standard Smelter Names'!$B$3:$E$153,4,FALSE))</f>
        <v/>
      </c>
      <c r="B108" s="170"/>
      <c r="C108" s="184"/>
      <c r="D108" s="184" t="str">
        <f t="shared" si="2"/>
        <v/>
      </c>
      <c r="E108" s="170" t="str">
        <f t="shared" si="3"/>
        <v/>
      </c>
      <c r="F108" s="170"/>
      <c r="G108" s="170"/>
      <c r="H108" s="170"/>
      <c r="I108" s="170"/>
      <c r="J108" s="170"/>
      <c r="K108" s="170"/>
      <c r="L108" s="170"/>
      <c r="M108" s="170"/>
      <c r="N108" s="170"/>
      <c r="O108" s="201"/>
    </row>
    <row r="109" spans="1:15" s="139" customFormat="1" ht="15.75">
      <c r="A109" s="205" t="str">
        <f>IF(ISNA(VLOOKUP(D109,'Standard Smelter Names'!$B$3:$E$153,4,FALSE)),"",VLOOKUP(D109,'Standard Smelter Names'!$B$3:$E$153,4,FALSE))</f>
        <v/>
      </c>
      <c r="B109" s="170"/>
      <c r="C109" s="184"/>
      <c r="D109" s="184" t="str">
        <f t="shared" si="2"/>
        <v/>
      </c>
      <c r="E109" s="170" t="str">
        <f t="shared" si="3"/>
        <v/>
      </c>
      <c r="F109" s="170"/>
      <c r="G109" s="170"/>
      <c r="H109" s="170"/>
      <c r="I109" s="170"/>
      <c r="J109" s="170"/>
      <c r="K109" s="170"/>
      <c r="L109" s="170"/>
      <c r="M109" s="170"/>
      <c r="N109" s="170"/>
      <c r="O109" s="201"/>
    </row>
    <row r="110" spans="1:15" s="139" customFormat="1" ht="15.75">
      <c r="A110" s="205" t="str">
        <f>IF(ISNA(VLOOKUP(D110,'Standard Smelter Names'!$B$3:$E$153,4,FALSE)),"",VLOOKUP(D110,'Standard Smelter Names'!$B$3:$E$153,4,FALSE))</f>
        <v/>
      </c>
      <c r="B110" s="170"/>
      <c r="C110" s="184"/>
      <c r="D110" s="184" t="str">
        <f t="shared" si="2"/>
        <v/>
      </c>
      <c r="E110" s="170" t="str">
        <f t="shared" si="3"/>
        <v/>
      </c>
      <c r="F110" s="170"/>
      <c r="G110" s="170"/>
      <c r="H110" s="170"/>
      <c r="I110" s="170"/>
      <c r="J110" s="170"/>
      <c r="K110" s="170"/>
      <c r="L110" s="170"/>
      <c r="M110" s="170"/>
      <c r="N110" s="170"/>
      <c r="O110" s="201"/>
    </row>
    <row r="111" spans="1:15" s="139" customFormat="1" ht="15.75">
      <c r="A111" s="205" t="str">
        <f>IF(ISNA(VLOOKUP(D111,'Standard Smelter Names'!$B$3:$E$153,4,FALSE)),"",VLOOKUP(D111,'Standard Smelter Names'!$B$3:$E$153,4,FALSE))</f>
        <v/>
      </c>
      <c r="B111" s="170"/>
      <c r="C111" s="184"/>
      <c r="D111" s="184" t="str">
        <f t="shared" si="2"/>
        <v/>
      </c>
      <c r="E111" s="170" t="str">
        <f t="shared" si="3"/>
        <v/>
      </c>
      <c r="F111" s="170"/>
      <c r="G111" s="170"/>
      <c r="H111" s="170"/>
      <c r="I111" s="170"/>
      <c r="J111" s="170"/>
      <c r="K111" s="170"/>
      <c r="L111" s="170"/>
      <c r="M111" s="170"/>
      <c r="N111" s="170"/>
      <c r="O111" s="201"/>
    </row>
    <row r="112" spans="1:15" s="139" customFormat="1" ht="15.75">
      <c r="A112" s="205" t="str">
        <f>IF(ISNA(VLOOKUP(D112,'Standard Smelter Names'!$B$3:$E$153,4,FALSE)),"",VLOOKUP(D112,'Standard Smelter Names'!$B$3:$E$153,4,FALSE))</f>
        <v/>
      </c>
      <c r="B112" s="170"/>
      <c r="C112" s="184"/>
      <c r="D112" s="184" t="str">
        <f t="shared" si="2"/>
        <v/>
      </c>
      <c r="E112" s="170" t="str">
        <f t="shared" si="3"/>
        <v/>
      </c>
      <c r="F112" s="170"/>
      <c r="G112" s="170"/>
      <c r="H112" s="170"/>
      <c r="I112" s="170"/>
      <c r="J112" s="170"/>
      <c r="K112" s="170"/>
      <c r="L112" s="170"/>
      <c r="M112" s="170"/>
      <c r="N112" s="170"/>
      <c r="O112" s="201"/>
    </row>
    <row r="113" spans="1:15" s="139" customFormat="1" ht="15.75">
      <c r="A113" s="205" t="str">
        <f>IF(ISNA(VLOOKUP(D113,'Standard Smelter Names'!$B$3:$E$153,4,FALSE)),"",VLOOKUP(D113,'Standard Smelter Names'!$B$3:$E$153,4,FALSE))</f>
        <v/>
      </c>
      <c r="B113" s="170"/>
      <c r="C113" s="184"/>
      <c r="D113" s="184" t="str">
        <f t="shared" si="2"/>
        <v/>
      </c>
      <c r="E113" s="170" t="str">
        <f t="shared" si="3"/>
        <v/>
      </c>
      <c r="F113" s="170"/>
      <c r="G113" s="170"/>
      <c r="H113" s="170"/>
      <c r="I113" s="170"/>
      <c r="J113" s="170"/>
      <c r="K113" s="170"/>
      <c r="L113" s="170"/>
      <c r="M113" s="170"/>
      <c r="N113" s="170"/>
      <c r="O113" s="201"/>
    </row>
    <row r="114" spans="1:15" s="139" customFormat="1" ht="15.75">
      <c r="A114" s="205" t="str">
        <f>IF(ISNA(VLOOKUP(D114,'Standard Smelter Names'!$B$3:$E$153,4,FALSE)),"",VLOOKUP(D114,'Standard Smelter Names'!$B$3:$E$153,4,FALSE))</f>
        <v/>
      </c>
      <c r="B114" s="170"/>
      <c r="C114" s="184"/>
      <c r="D114" s="184" t="str">
        <f t="shared" si="2"/>
        <v/>
      </c>
      <c r="E114" s="170" t="str">
        <f t="shared" si="3"/>
        <v/>
      </c>
      <c r="F114" s="170"/>
      <c r="G114" s="170"/>
      <c r="H114" s="170"/>
      <c r="I114" s="170"/>
      <c r="J114" s="170"/>
      <c r="K114" s="170"/>
      <c r="L114" s="170"/>
      <c r="M114" s="170"/>
      <c r="N114" s="170"/>
      <c r="O114" s="201"/>
    </row>
    <row r="115" spans="1:15" s="139" customFormat="1" ht="15.75">
      <c r="A115" s="205" t="str">
        <f>IF(ISNA(VLOOKUP(D115,'Standard Smelter Names'!$B$3:$E$153,4,FALSE)),"",VLOOKUP(D115,'Standard Smelter Names'!$B$3:$E$153,4,FALSE))</f>
        <v/>
      </c>
      <c r="B115" s="170"/>
      <c r="C115" s="184"/>
      <c r="D115" s="184" t="str">
        <f t="shared" si="2"/>
        <v/>
      </c>
      <c r="E115" s="170" t="str">
        <f t="shared" si="3"/>
        <v/>
      </c>
      <c r="F115" s="170"/>
      <c r="G115" s="170"/>
      <c r="H115" s="170"/>
      <c r="I115" s="170"/>
      <c r="J115" s="170"/>
      <c r="K115" s="170"/>
      <c r="L115" s="170"/>
      <c r="M115" s="170"/>
      <c r="N115" s="170"/>
      <c r="O115" s="201"/>
    </row>
    <row r="116" spans="1:15" s="139" customFormat="1" ht="15.75">
      <c r="A116" s="205" t="str">
        <f>IF(ISNA(VLOOKUP(D116,'Standard Smelter Names'!$B$3:$E$153,4,FALSE)),"",VLOOKUP(D116,'Standard Smelter Names'!$B$3:$E$153,4,FALSE))</f>
        <v/>
      </c>
      <c r="B116" s="170"/>
      <c r="C116" s="184"/>
      <c r="D116" s="184" t="str">
        <f t="shared" si="2"/>
        <v/>
      </c>
      <c r="E116" s="170" t="str">
        <f t="shared" si="3"/>
        <v/>
      </c>
      <c r="F116" s="170"/>
      <c r="G116" s="170"/>
      <c r="H116" s="170"/>
      <c r="I116" s="170"/>
      <c r="J116" s="170"/>
      <c r="K116" s="170"/>
      <c r="L116" s="170"/>
      <c r="M116" s="170"/>
      <c r="N116" s="170"/>
      <c r="O116" s="201"/>
    </row>
    <row r="117" spans="1:15" s="139" customFormat="1" ht="15.75">
      <c r="A117" s="205" t="str">
        <f>IF(ISNA(VLOOKUP(D117,'Standard Smelter Names'!$B$3:$E$153,4,FALSE)),"",VLOOKUP(D117,'Standard Smelter Names'!$B$3:$E$153,4,FALSE))</f>
        <v/>
      </c>
      <c r="B117" s="170"/>
      <c r="C117" s="184"/>
      <c r="D117" s="184" t="str">
        <f t="shared" si="2"/>
        <v/>
      </c>
      <c r="E117" s="170" t="str">
        <f t="shared" si="3"/>
        <v/>
      </c>
      <c r="F117" s="170"/>
      <c r="G117" s="170"/>
      <c r="H117" s="170"/>
      <c r="I117" s="170"/>
      <c r="J117" s="170"/>
      <c r="K117" s="170"/>
      <c r="L117" s="170"/>
      <c r="M117" s="170"/>
      <c r="N117" s="170"/>
      <c r="O117" s="201"/>
    </row>
    <row r="118" spans="1:15" s="139" customFormat="1" ht="15.75">
      <c r="A118" s="205" t="str">
        <f>IF(ISNA(VLOOKUP(D118,'Standard Smelter Names'!$B$3:$E$153,4,FALSE)),"",VLOOKUP(D118,'Standard Smelter Names'!$B$3:$E$153,4,FALSE))</f>
        <v/>
      </c>
      <c r="B118" s="170"/>
      <c r="C118" s="184"/>
      <c r="D118" s="184" t="str">
        <f t="shared" si="2"/>
        <v/>
      </c>
      <c r="E118" s="170" t="str">
        <f t="shared" si="3"/>
        <v/>
      </c>
      <c r="F118" s="170"/>
      <c r="G118" s="170"/>
      <c r="H118" s="170"/>
      <c r="I118" s="170"/>
      <c r="J118" s="170"/>
      <c r="K118" s="170"/>
      <c r="L118" s="170"/>
      <c r="M118" s="170"/>
      <c r="N118" s="170"/>
      <c r="O118" s="201"/>
    </row>
    <row r="119" spans="1:15" s="139" customFormat="1" ht="15.75">
      <c r="A119" s="205" t="str">
        <f>IF(ISNA(VLOOKUP(D119,'Standard Smelter Names'!$B$3:$E$153,4,FALSE)),"",VLOOKUP(D119,'Standard Smelter Names'!$B$3:$E$153,4,FALSE))</f>
        <v/>
      </c>
      <c r="B119" s="170"/>
      <c r="C119" s="184"/>
      <c r="D119" s="184" t="str">
        <f t="shared" si="2"/>
        <v/>
      </c>
      <c r="E119" s="170" t="str">
        <f t="shared" si="3"/>
        <v/>
      </c>
      <c r="F119" s="170"/>
      <c r="G119" s="170"/>
      <c r="H119" s="170"/>
      <c r="I119" s="170"/>
      <c r="J119" s="170"/>
      <c r="K119" s="170"/>
      <c r="L119" s="170"/>
      <c r="M119" s="170"/>
      <c r="N119" s="170"/>
      <c r="O119" s="201"/>
    </row>
    <row r="120" spans="1:15" s="139" customFormat="1" ht="15.75">
      <c r="A120" s="205" t="str">
        <f>IF(ISNA(VLOOKUP(D120,'Standard Smelter Names'!$B$3:$E$153,4,FALSE)),"",VLOOKUP(D120,'Standard Smelter Names'!$B$3:$E$153,4,FALSE))</f>
        <v/>
      </c>
      <c r="B120" s="170"/>
      <c r="C120" s="184"/>
      <c r="D120" s="184" t="str">
        <f t="shared" si="2"/>
        <v/>
      </c>
      <c r="E120" s="170" t="str">
        <f t="shared" si="3"/>
        <v/>
      </c>
      <c r="F120" s="170"/>
      <c r="G120" s="170"/>
      <c r="H120" s="170"/>
      <c r="I120" s="170"/>
      <c r="J120" s="170"/>
      <c r="K120" s="170"/>
      <c r="L120" s="170"/>
      <c r="M120" s="170"/>
      <c r="N120" s="170"/>
      <c r="O120" s="201"/>
    </row>
    <row r="121" spans="1:15" s="139" customFormat="1" ht="15.75">
      <c r="A121" s="205" t="str">
        <f>IF(ISNA(VLOOKUP(D121,'Standard Smelter Names'!$B$3:$E$153,4,FALSE)),"",VLOOKUP(D121,'Standard Smelter Names'!$B$3:$E$153,4,FALSE))</f>
        <v/>
      </c>
      <c r="B121" s="170"/>
      <c r="C121" s="184"/>
      <c r="D121" s="184" t="str">
        <f t="shared" si="2"/>
        <v/>
      </c>
      <c r="E121" s="170" t="str">
        <f t="shared" si="3"/>
        <v/>
      </c>
      <c r="F121" s="170"/>
      <c r="G121" s="170"/>
      <c r="H121" s="170"/>
      <c r="I121" s="170"/>
      <c r="J121" s="170"/>
      <c r="K121" s="170"/>
      <c r="L121" s="170"/>
      <c r="M121" s="170"/>
      <c r="N121" s="170"/>
      <c r="O121" s="201"/>
    </row>
    <row r="122" spans="1:15" s="139" customFormat="1" ht="15.75">
      <c r="A122" s="205" t="str">
        <f>IF(ISNA(VLOOKUP(D122,'Standard Smelter Names'!$B$3:$E$153,4,FALSE)),"",VLOOKUP(D122,'Standard Smelter Names'!$B$3:$E$153,4,FALSE))</f>
        <v/>
      </c>
      <c r="B122" s="170"/>
      <c r="C122" s="184"/>
      <c r="D122" s="184" t="str">
        <f t="shared" si="2"/>
        <v/>
      </c>
      <c r="E122" s="170" t="str">
        <f t="shared" si="3"/>
        <v/>
      </c>
      <c r="F122" s="170"/>
      <c r="G122" s="170"/>
      <c r="H122" s="170"/>
      <c r="I122" s="170"/>
      <c r="J122" s="170"/>
      <c r="K122" s="170"/>
      <c r="L122" s="170"/>
      <c r="M122" s="170"/>
      <c r="N122" s="170"/>
      <c r="O122" s="201"/>
    </row>
    <row r="123" spans="1:15" s="139" customFormat="1" ht="15.75">
      <c r="A123" s="205" t="str">
        <f>IF(ISNA(VLOOKUP(D123,'Standard Smelter Names'!$B$3:$E$153,4,FALSE)),"",VLOOKUP(D123,'Standard Smelter Names'!$B$3:$E$153,4,FALSE))</f>
        <v/>
      </c>
      <c r="B123" s="170"/>
      <c r="C123" s="184"/>
      <c r="D123" s="184" t="str">
        <f t="shared" si="2"/>
        <v/>
      </c>
      <c r="E123" s="170" t="str">
        <f t="shared" si="3"/>
        <v/>
      </c>
      <c r="F123" s="170"/>
      <c r="G123" s="170"/>
      <c r="H123" s="170"/>
      <c r="I123" s="170"/>
      <c r="J123" s="170"/>
      <c r="K123" s="170"/>
      <c r="L123" s="170"/>
      <c r="M123" s="170"/>
      <c r="N123" s="170"/>
      <c r="O123" s="201"/>
    </row>
    <row r="124" spans="1:15" s="139" customFormat="1" ht="15.75">
      <c r="A124" s="205" t="str">
        <f>IF(ISNA(VLOOKUP(D124,'Standard Smelter Names'!$B$3:$E$153,4,FALSE)),"",VLOOKUP(D124,'Standard Smelter Names'!$B$3:$E$153,4,FALSE))</f>
        <v/>
      </c>
      <c r="B124" s="170"/>
      <c r="C124" s="184"/>
      <c r="D124" s="184" t="str">
        <f t="shared" si="2"/>
        <v/>
      </c>
      <c r="E124" s="170" t="str">
        <f t="shared" si="3"/>
        <v/>
      </c>
      <c r="F124" s="170"/>
      <c r="G124" s="170"/>
      <c r="H124" s="170"/>
      <c r="I124" s="170"/>
      <c r="J124" s="170"/>
      <c r="K124" s="170"/>
      <c r="L124" s="170"/>
      <c r="M124" s="170"/>
      <c r="N124" s="170"/>
      <c r="O124" s="201"/>
    </row>
    <row r="125" spans="1:15" s="139" customFormat="1" ht="15.75">
      <c r="A125" s="205" t="str">
        <f>IF(ISNA(VLOOKUP(D125,'Standard Smelter Names'!$B$3:$E$153,4,FALSE)),"",VLOOKUP(D125,'Standard Smelter Names'!$B$3:$E$153,4,FALSE))</f>
        <v/>
      </c>
      <c r="B125" s="170"/>
      <c r="C125" s="184"/>
      <c r="D125" s="184" t="str">
        <f t="shared" si="2"/>
        <v/>
      </c>
      <c r="E125" s="170" t="str">
        <f t="shared" si="3"/>
        <v/>
      </c>
      <c r="F125" s="170"/>
      <c r="G125" s="170"/>
      <c r="H125" s="170"/>
      <c r="I125" s="170"/>
      <c r="J125" s="170"/>
      <c r="K125" s="170"/>
      <c r="L125" s="170"/>
      <c r="M125" s="170"/>
      <c r="N125" s="170"/>
      <c r="O125" s="201"/>
    </row>
    <row r="126" spans="1:15" s="139" customFormat="1" ht="15.75">
      <c r="A126" s="205" t="str">
        <f>IF(ISNA(VLOOKUP(D126,'Standard Smelter Names'!$B$3:$E$153,4,FALSE)),"",VLOOKUP(D126,'Standard Smelter Names'!$B$3:$E$153,4,FALSE))</f>
        <v/>
      </c>
      <c r="B126" s="170"/>
      <c r="C126" s="184"/>
      <c r="D126" s="184" t="str">
        <f t="shared" si="2"/>
        <v/>
      </c>
      <c r="E126" s="170" t="str">
        <f t="shared" si="3"/>
        <v/>
      </c>
      <c r="F126" s="170"/>
      <c r="G126" s="170"/>
      <c r="H126" s="170"/>
      <c r="I126" s="170"/>
      <c r="J126" s="170"/>
      <c r="K126" s="170"/>
      <c r="L126" s="170"/>
      <c r="M126" s="170"/>
      <c r="N126" s="170"/>
      <c r="O126" s="201"/>
    </row>
    <row r="127" spans="1:15" s="139" customFormat="1" ht="15.75">
      <c r="A127" s="205" t="str">
        <f>IF(ISNA(VLOOKUP(D127,'Standard Smelter Names'!$B$3:$E$153,4,FALSE)),"",VLOOKUP(D127,'Standard Smelter Names'!$B$3:$E$153,4,FALSE))</f>
        <v/>
      </c>
      <c r="B127" s="170"/>
      <c r="C127" s="184"/>
      <c r="D127" s="184" t="str">
        <f t="shared" si="2"/>
        <v/>
      </c>
      <c r="E127" s="170" t="str">
        <f t="shared" si="3"/>
        <v/>
      </c>
      <c r="F127" s="170"/>
      <c r="G127" s="170"/>
      <c r="H127" s="170"/>
      <c r="I127" s="170"/>
      <c r="J127" s="170"/>
      <c r="K127" s="170"/>
      <c r="L127" s="170"/>
      <c r="M127" s="170"/>
      <c r="N127" s="170"/>
      <c r="O127" s="201"/>
    </row>
    <row r="128" spans="1:15" s="139" customFormat="1" ht="15.75">
      <c r="A128" s="205" t="str">
        <f>IF(ISNA(VLOOKUP(D128,'Standard Smelter Names'!$B$3:$E$153,4,FALSE)),"",VLOOKUP(D128,'Standard Smelter Names'!$B$3:$E$153,4,FALSE))</f>
        <v/>
      </c>
      <c r="B128" s="170"/>
      <c r="C128" s="184"/>
      <c r="D128" s="184" t="str">
        <f t="shared" si="2"/>
        <v/>
      </c>
      <c r="E128" s="170" t="str">
        <f t="shared" si="3"/>
        <v/>
      </c>
      <c r="F128" s="170"/>
      <c r="G128" s="170"/>
      <c r="H128" s="170"/>
      <c r="I128" s="170"/>
      <c r="J128" s="170"/>
      <c r="K128" s="170"/>
      <c r="L128" s="170"/>
      <c r="M128" s="170"/>
      <c r="N128" s="170"/>
      <c r="O128" s="201"/>
    </row>
    <row r="129" spans="1:15" s="139" customFormat="1" ht="15.75">
      <c r="A129" s="205" t="str">
        <f>IF(ISNA(VLOOKUP(D129,'Standard Smelter Names'!$B$3:$E$153,4,FALSE)),"",VLOOKUP(D129,'Standard Smelter Names'!$B$3:$E$153,4,FALSE))</f>
        <v/>
      </c>
      <c r="B129" s="170"/>
      <c r="C129" s="184"/>
      <c r="D129" s="184" t="str">
        <f t="shared" si="2"/>
        <v/>
      </c>
      <c r="E129" s="170" t="str">
        <f t="shared" si="3"/>
        <v/>
      </c>
      <c r="F129" s="170"/>
      <c r="G129" s="170"/>
      <c r="H129" s="170"/>
      <c r="I129" s="170"/>
      <c r="J129" s="170"/>
      <c r="K129" s="170"/>
      <c r="L129" s="170"/>
      <c r="M129" s="170"/>
      <c r="N129" s="170"/>
      <c r="O129" s="201"/>
    </row>
    <row r="130" spans="1:15" s="139" customFormat="1" ht="15.75">
      <c r="A130" s="205" t="str">
        <f>IF(ISNA(VLOOKUP(D130,'Standard Smelter Names'!$B$3:$E$153,4,FALSE)),"",VLOOKUP(D130,'Standard Smelter Names'!$B$3:$E$153,4,FALSE))</f>
        <v/>
      </c>
      <c r="B130" s="170"/>
      <c r="C130" s="184"/>
      <c r="D130" s="184" t="str">
        <f t="shared" si="2"/>
        <v/>
      </c>
      <c r="E130" s="170" t="str">
        <f t="shared" si="3"/>
        <v/>
      </c>
      <c r="F130" s="170"/>
      <c r="G130" s="170"/>
      <c r="H130" s="170"/>
      <c r="I130" s="170"/>
      <c r="J130" s="170"/>
      <c r="K130" s="170"/>
      <c r="L130" s="170"/>
      <c r="M130" s="170"/>
      <c r="N130" s="170"/>
      <c r="O130" s="201"/>
    </row>
    <row r="131" spans="1:15" s="139" customFormat="1" ht="15.75">
      <c r="A131" s="205" t="str">
        <f>IF(ISNA(VLOOKUP(D131,'Standard Smelter Names'!$B$3:$E$153,4,FALSE)),"",VLOOKUP(D131,'Standard Smelter Names'!$B$3:$E$153,4,FALSE))</f>
        <v/>
      </c>
      <c r="B131" s="170"/>
      <c r="C131" s="184"/>
      <c r="D131" s="184" t="str">
        <f t="shared" si="2"/>
        <v/>
      </c>
      <c r="E131" s="170" t="str">
        <f t="shared" si="3"/>
        <v/>
      </c>
      <c r="F131" s="170"/>
      <c r="G131" s="170"/>
      <c r="H131" s="170"/>
      <c r="I131" s="170"/>
      <c r="J131" s="170"/>
      <c r="K131" s="170"/>
      <c r="L131" s="170"/>
      <c r="M131" s="170"/>
      <c r="N131" s="170"/>
      <c r="O131" s="201"/>
    </row>
    <row r="132" spans="1:15" s="139" customFormat="1" ht="15.75">
      <c r="A132" s="205" t="str">
        <f>IF(ISNA(VLOOKUP(D132,'Standard Smelter Names'!$B$3:$E$153,4,FALSE)),"",VLOOKUP(D132,'Standard Smelter Names'!$B$3:$E$153,4,FALSE))</f>
        <v/>
      </c>
      <c r="B132" s="170"/>
      <c r="C132" s="184"/>
      <c r="D132" s="184" t="str">
        <f t="shared" si="2"/>
        <v/>
      </c>
      <c r="E132" s="170" t="str">
        <f t="shared" si="3"/>
        <v/>
      </c>
      <c r="F132" s="170"/>
      <c r="G132" s="170"/>
      <c r="H132" s="170"/>
      <c r="I132" s="170"/>
      <c r="J132" s="170"/>
      <c r="K132" s="170"/>
      <c r="L132" s="170"/>
      <c r="M132" s="170"/>
      <c r="N132" s="170"/>
      <c r="O132" s="201"/>
    </row>
    <row r="133" spans="1:15" s="139" customFormat="1" ht="15.75">
      <c r="A133" s="205" t="str">
        <f>IF(ISNA(VLOOKUP(D133,'Standard Smelter Names'!$B$3:$E$153,4,FALSE)),"",VLOOKUP(D133,'Standard Smelter Names'!$B$3:$E$153,4,FALSE))</f>
        <v/>
      </c>
      <c r="B133" s="170"/>
      <c r="C133" s="184"/>
      <c r="D133" s="184" t="str">
        <f t="shared" ref="D133:D196" si="4">IF(ISNA(VLOOKUP(C133,$G$1023:$I$1309,3,FALSE)),"",VLOOKUP(C133,$G$1023:$I$1309,3,FALSE))</f>
        <v/>
      </c>
      <c r="E133" s="170" t="str">
        <f t="shared" ref="E133:E196" si="5">IF(ISNA(VLOOKUP(C133,$G$1023:$I$1309,2,FALSE)),"",VLOOKUP(C133,$G$1023:$I$1309,2,FALSE))</f>
        <v/>
      </c>
      <c r="F133" s="170"/>
      <c r="G133" s="170"/>
      <c r="H133" s="170"/>
      <c r="I133" s="170"/>
      <c r="J133" s="170"/>
      <c r="K133" s="170"/>
      <c r="L133" s="170"/>
      <c r="M133" s="170"/>
      <c r="N133" s="170"/>
      <c r="O133" s="201"/>
    </row>
    <row r="134" spans="1:15" s="139" customFormat="1" ht="15.75">
      <c r="A134" s="205" t="str">
        <f>IF(ISNA(VLOOKUP(D134,'Standard Smelter Names'!$B$3:$E$153,4,FALSE)),"",VLOOKUP(D134,'Standard Smelter Names'!$B$3:$E$153,4,FALSE))</f>
        <v/>
      </c>
      <c r="B134" s="170"/>
      <c r="C134" s="184"/>
      <c r="D134" s="184" t="str">
        <f t="shared" si="4"/>
        <v/>
      </c>
      <c r="E134" s="170" t="str">
        <f t="shared" si="5"/>
        <v/>
      </c>
      <c r="F134" s="170"/>
      <c r="G134" s="170"/>
      <c r="H134" s="170"/>
      <c r="I134" s="170"/>
      <c r="J134" s="170"/>
      <c r="K134" s="170"/>
      <c r="L134" s="170"/>
      <c r="M134" s="170"/>
      <c r="N134" s="170"/>
      <c r="O134" s="201"/>
    </row>
    <row r="135" spans="1:15" s="139" customFormat="1" ht="15.75">
      <c r="A135" s="205" t="str">
        <f>IF(ISNA(VLOOKUP(D135,'Standard Smelter Names'!$B$3:$E$153,4,FALSE)),"",VLOOKUP(D135,'Standard Smelter Names'!$B$3:$E$153,4,FALSE))</f>
        <v/>
      </c>
      <c r="B135" s="170"/>
      <c r="C135" s="184"/>
      <c r="D135" s="184" t="str">
        <f t="shared" si="4"/>
        <v/>
      </c>
      <c r="E135" s="170" t="str">
        <f t="shared" si="5"/>
        <v/>
      </c>
      <c r="F135" s="170"/>
      <c r="G135" s="170"/>
      <c r="H135" s="170"/>
      <c r="I135" s="170"/>
      <c r="J135" s="170"/>
      <c r="K135" s="170"/>
      <c r="L135" s="170"/>
      <c r="M135" s="170"/>
      <c r="N135" s="170"/>
      <c r="O135" s="201"/>
    </row>
    <row r="136" spans="1:15" s="139" customFormat="1" ht="15.75">
      <c r="A136" s="205" t="str">
        <f>IF(ISNA(VLOOKUP(D136,'Standard Smelter Names'!$B$3:$E$153,4,FALSE)),"",VLOOKUP(D136,'Standard Smelter Names'!$B$3:$E$153,4,FALSE))</f>
        <v/>
      </c>
      <c r="B136" s="170"/>
      <c r="C136" s="184"/>
      <c r="D136" s="184" t="str">
        <f t="shared" si="4"/>
        <v/>
      </c>
      <c r="E136" s="170" t="str">
        <f t="shared" si="5"/>
        <v/>
      </c>
      <c r="F136" s="170"/>
      <c r="G136" s="170"/>
      <c r="H136" s="170"/>
      <c r="I136" s="170"/>
      <c r="J136" s="170"/>
      <c r="K136" s="170"/>
      <c r="L136" s="170"/>
      <c r="M136" s="170"/>
      <c r="N136" s="170"/>
      <c r="O136" s="201"/>
    </row>
    <row r="137" spans="1:15" s="139" customFormat="1" ht="15.75">
      <c r="A137" s="205" t="str">
        <f>IF(ISNA(VLOOKUP(D137,'Standard Smelter Names'!$B$3:$E$153,4,FALSE)),"",VLOOKUP(D137,'Standard Smelter Names'!$B$3:$E$153,4,FALSE))</f>
        <v/>
      </c>
      <c r="B137" s="170"/>
      <c r="C137" s="184"/>
      <c r="D137" s="184" t="str">
        <f t="shared" si="4"/>
        <v/>
      </c>
      <c r="E137" s="170" t="str">
        <f t="shared" si="5"/>
        <v/>
      </c>
      <c r="F137" s="170"/>
      <c r="G137" s="170"/>
      <c r="H137" s="170"/>
      <c r="I137" s="170"/>
      <c r="J137" s="170"/>
      <c r="K137" s="170"/>
      <c r="L137" s="170"/>
      <c r="M137" s="170"/>
      <c r="N137" s="170"/>
      <c r="O137" s="201"/>
    </row>
    <row r="138" spans="1:15" s="139" customFormat="1" ht="15.75">
      <c r="A138" s="205" t="str">
        <f>IF(ISNA(VLOOKUP(D138,'Standard Smelter Names'!$B$3:$E$153,4,FALSE)),"",VLOOKUP(D138,'Standard Smelter Names'!$B$3:$E$153,4,FALSE))</f>
        <v/>
      </c>
      <c r="B138" s="170"/>
      <c r="C138" s="184"/>
      <c r="D138" s="184" t="str">
        <f t="shared" si="4"/>
        <v/>
      </c>
      <c r="E138" s="170" t="str">
        <f t="shared" si="5"/>
        <v/>
      </c>
      <c r="F138" s="170"/>
      <c r="G138" s="170"/>
      <c r="H138" s="170"/>
      <c r="I138" s="170"/>
      <c r="J138" s="170"/>
      <c r="K138" s="170"/>
      <c r="L138" s="170"/>
      <c r="M138" s="170"/>
      <c r="N138" s="170"/>
      <c r="O138" s="201"/>
    </row>
    <row r="139" spans="1:15" s="139" customFormat="1" ht="15.75">
      <c r="A139" s="205" t="str">
        <f>IF(ISNA(VLOOKUP(D139,'Standard Smelter Names'!$B$3:$E$153,4,FALSE)),"",VLOOKUP(D139,'Standard Smelter Names'!$B$3:$E$153,4,FALSE))</f>
        <v/>
      </c>
      <c r="B139" s="170"/>
      <c r="C139" s="184"/>
      <c r="D139" s="184" t="str">
        <f t="shared" si="4"/>
        <v/>
      </c>
      <c r="E139" s="170" t="str">
        <f t="shared" si="5"/>
        <v/>
      </c>
      <c r="F139" s="170"/>
      <c r="G139" s="170"/>
      <c r="H139" s="170"/>
      <c r="I139" s="170"/>
      <c r="J139" s="170"/>
      <c r="K139" s="170"/>
      <c r="L139" s="170"/>
      <c r="M139" s="170"/>
      <c r="N139" s="170"/>
      <c r="O139" s="201"/>
    </row>
    <row r="140" spans="1:15" s="139" customFormat="1" ht="15.75">
      <c r="A140" s="205" t="str">
        <f>IF(ISNA(VLOOKUP(D140,'Standard Smelter Names'!$B$3:$E$153,4,FALSE)),"",VLOOKUP(D140,'Standard Smelter Names'!$B$3:$E$153,4,FALSE))</f>
        <v/>
      </c>
      <c r="B140" s="170"/>
      <c r="C140" s="184"/>
      <c r="D140" s="184" t="str">
        <f t="shared" si="4"/>
        <v/>
      </c>
      <c r="E140" s="170" t="str">
        <f t="shared" si="5"/>
        <v/>
      </c>
      <c r="F140" s="170"/>
      <c r="G140" s="170"/>
      <c r="H140" s="170"/>
      <c r="I140" s="170"/>
      <c r="J140" s="170"/>
      <c r="K140" s="170"/>
      <c r="L140" s="170"/>
      <c r="M140" s="170"/>
      <c r="N140" s="170"/>
      <c r="O140" s="201"/>
    </row>
    <row r="141" spans="1:15" s="139" customFormat="1" ht="15.75">
      <c r="A141" s="205" t="str">
        <f>IF(ISNA(VLOOKUP(D141,'Standard Smelter Names'!$B$3:$E$153,4,FALSE)),"",VLOOKUP(D141,'Standard Smelter Names'!$B$3:$E$153,4,FALSE))</f>
        <v/>
      </c>
      <c r="B141" s="170"/>
      <c r="C141" s="184"/>
      <c r="D141" s="184" t="str">
        <f t="shared" si="4"/>
        <v/>
      </c>
      <c r="E141" s="170" t="str">
        <f t="shared" si="5"/>
        <v/>
      </c>
      <c r="F141" s="170"/>
      <c r="G141" s="170"/>
      <c r="H141" s="170"/>
      <c r="I141" s="170"/>
      <c r="J141" s="170"/>
      <c r="K141" s="170"/>
      <c r="L141" s="170"/>
      <c r="M141" s="170"/>
      <c r="N141" s="170"/>
      <c r="O141" s="201"/>
    </row>
    <row r="142" spans="1:15" s="139" customFormat="1" ht="15.75">
      <c r="A142" s="205" t="str">
        <f>IF(ISNA(VLOOKUP(D142,'Standard Smelter Names'!$B$3:$E$153,4,FALSE)),"",VLOOKUP(D142,'Standard Smelter Names'!$B$3:$E$153,4,FALSE))</f>
        <v/>
      </c>
      <c r="B142" s="170"/>
      <c r="C142" s="184"/>
      <c r="D142" s="184" t="str">
        <f t="shared" si="4"/>
        <v/>
      </c>
      <c r="E142" s="170" t="str">
        <f t="shared" si="5"/>
        <v/>
      </c>
      <c r="F142" s="170"/>
      <c r="G142" s="170"/>
      <c r="H142" s="170"/>
      <c r="I142" s="170"/>
      <c r="J142" s="170"/>
      <c r="K142" s="170"/>
      <c r="L142" s="170"/>
      <c r="M142" s="170"/>
      <c r="N142" s="170"/>
      <c r="O142" s="201"/>
    </row>
    <row r="143" spans="1:15" s="139" customFormat="1" ht="15.75">
      <c r="A143" s="205" t="str">
        <f>IF(ISNA(VLOOKUP(D143,'Standard Smelter Names'!$B$3:$E$153,4,FALSE)),"",VLOOKUP(D143,'Standard Smelter Names'!$B$3:$E$153,4,FALSE))</f>
        <v/>
      </c>
      <c r="B143" s="170"/>
      <c r="C143" s="184"/>
      <c r="D143" s="184" t="str">
        <f t="shared" si="4"/>
        <v/>
      </c>
      <c r="E143" s="170" t="str">
        <f t="shared" si="5"/>
        <v/>
      </c>
      <c r="F143" s="170"/>
      <c r="G143" s="170"/>
      <c r="H143" s="170"/>
      <c r="I143" s="170"/>
      <c r="J143" s="170"/>
      <c r="K143" s="170"/>
      <c r="L143" s="170"/>
      <c r="M143" s="170"/>
      <c r="N143" s="170"/>
      <c r="O143" s="201"/>
    </row>
    <row r="144" spans="1:15" s="139" customFormat="1" ht="15.75">
      <c r="A144" s="205" t="str">
        <f>IF(ISNA(VLOOKUP(D144,'Standard Smelter Names'!$B$3:$E$153,4,FALSE)),"",VLOOKUP(D144,'Standard Smelter Names'!$B$3:$E$153,4,FALSE))</f>
        <v/>
      </c>
      <c r="B144" s="170"/>
      <c r="C144" s="184"/>
      <c r="D144" s="184" t="str">
        <f t="shared" si="4"/>
        <v/>
      </c>
      <c r="E144" s="170" t="str">
        <f t="shared" si="5"/>
        <v/>
      </c>
      <c r="F144" s="170"/>
      <c r="G144" s="170"/>
      <c r="H144" s="170"/>
      <c r="I144" s="170"/>
      <c r="J144" s="170"/>
      <c r="K144" s="170"/>
      <c r="L144" s="170"/>
      <c r="M144" s="170"/>
      <c r="N144" s="170"/>
      <c r="O144" s="201"/>
    </row>
    <row r="145" spans="1:15" s="139" customFormat="1" ht="15.75">
      <c r="A145" s="205" t="str">
        <f>IF(ISNA(VLOOKUP(D145,'Standard Smelter Names'!$B$3:$E$153,4,FALSE)),"",VLOOKUP(D145,'Standard Smelter Names'!$B$3:$E$153,4,FALSE))</f>
        <v/>
      </c>
      <c r="B145" s="170"/>
      <c r="C145" s="184"/>
      <c r="D145" s="184" t="str">
        <f t="shared" si="4"/>
        <v/>
      </c>
      <c r="E145" s="170" t="str">
        <f t="shared" si="5"/>
        <v/>
      </c>
      <c r="F145" s="170"/>
      <c r="G145" s="170"/>
      <c r="H145" s="170"/>
      <c r="I145" s="170"/>
      <c r="J145" s="170"/>
      <c r="K145" s="170"/>
      <c r="L145" s="170"/>
      <c r="M145" s="170"/>
      <c r="N145" s="170"/>
      <c r="O145" s="201"/>
    </row>
    <row r="146" spans="1:15" s="139" customFormat="1" ht="15.75">
      <c r="A146" s="205" t="str">
        <f>IF(ISNA(VLOOKUP(D146,'Standard Smelter Names'!$B$3:$E$153,4,FALSE)),"",VLOOKUP(D146,'Standard Smelter Names'!$B$3:$E$153,4,FALSE))</f>
        <v/>
      </c>
      <c r="B146" s="170"/>
      <c r="C146" s="184"/>
      <c r="D146" s="184" t="str">
        <f t="shared" si="4"/>
        <v/>
      </c>
      <c r="E146" s="170" t="str">
        <f t="shared" si="5"/>
        <v/>
      </c>
      <c r="F146" s="170"/>
      <c r="G146" s="170"/>
      <c r="H146" s="170"/>
      <c r="I146" s="170"/>
      <c r="J146" s="170"/>
      <c r="K146" s="170"/>
      <c r="L146" s="170"/>
      <c r="M146" s="170"/>
      <c r="N146" s="170"/>
      <c r="O146" s="201"/>
    </row>
    <row r="147" spans="1:15" s="139" customFormat="1" ht="15.75">
      <c r="A147" s="205" t="str">
        <f>IF(ISNA(VLOOKUP(D147,'Standard Smelter Names'!$B$3:$E$153,4,FALSE)),"",VLOOKUP(D147,'Standard Smelter Names'!$B$3:$E$153,4,FALSE))</f>
        <v/>
      </c>
      <c r="B147" s="170"/>
      <c r="C147" s="184"/>
      <c r="D147" s="184" t="str">
        <f t="shared" si="4"/>
        <v/>
      </c>
      <c r="E147" s="170" t="str">
        <f t="shared" si="5"/>
        <v/>
      </c>
      <c r="F147" s="170"/>
      <c r="G147" s="170"/>
      <c r="H147" s="170"/>
      <c r="I147" s="170"/>
      <c r="J147" s="170"/>
      <c r="K147" s="170"/>
      <c r="L147" s="170"/>
      <c r="M147" s="170"/>
      <c r="N147" s="170"/>
      <c r="O147" s="201"/>
    </row>
    <row r="148" spans="1:15" s="139" customFormat="1" ht="15.75">
      <c r="A148" s="205" t="str">
        <f>IF(ISNA(VLOOKUP(D148,'Standard Smelter Names'!$B$3:$E$153,4,FALSE)),"",VLOOKUP(D148,'Standard Smelter Names'!$B$3:$E$153,4,FALSE))</f>
        <v/>
      </c>
      <c r="B148" s="170"/>
      <c r="C148" s="184"/>
      <c r="D148" s="184" t="str">
        <f t="shared" si="4"/>
        <v/>
      </c>
      <c r="E148" s="170" t="str">
        <f t="shared" si="5"/>
        <v/>
      </c>
      <c r="F148" s="170"/>
      <c r="G148" s="170"/>
      <c r="H148" s="170"/>
      <c r="I148" s="170"/>
      <c r="J148" s="170"/>
      <c r="K148" s="170"/>
      <c r="L148" s="170"/>
      <c r="M148" s="170"/>
      <c r="N148" s="170"/>
      <c r="O148" s="201"/>
    </row>
    <row r="149" spans="1:15" s="139" customFormat="1" ht="15.75">
      <c r="A149" s="205" t="str">
        <f>IF(ISNA(VLOOKUP(D149,'Standard Smelter Names'!$B$3:$E$153,4,FALSE)),"",VLOOKUP(D149,'Standard Smelter Names'!$B$3:$E$153,4,FALSE))</f>
        <v/>
      </c>
      <c r="B149" s="170"/>
      <c r="C149" s="184"/>
      <c r="D149" s="184" t="str">
        <f t="shared" si="4"/>
        <v/>
      </c>
      <c r="E149" s="170" t="str">
        <f t="shared" si="5"/>
        <v/>
      </c>
      <c r="F149" s="170"/>
      <c r="G149" s="170"/>
      <c r="H149" s="170"/>
      <c r="I149" s="170"/>
      <c r="J149" s="170"/>
      <c r="K149" s="170"/>
      <c r="L149" s="170"/>
      <c r="M149" s="170"/>
      <c r="N149" s="170"/>
      <c r="O149" s="201"/>
    </row>
    <row r="150" spans="1:15" s="139" customFormat="1" ht="15.75">
      <c r="A150" s="205" t="str">
        <f>IF(ISNA(VLOOKUP(D150,'Standard Smelter Names'!$B$3:$E$153,4,FALSE)),"",VLOOKUP(D150,'Standard Smelter Names'!$B$3:$E$153,4,FALSE))</f>
        <v/>
      </c>
      <c r="B150" s="170"/>
      <c r="C150" s="184"/>
      <c r="D150" s="184" t="str">
        <f t="shared" si="4"/>
        <v/>
      </c>
      <c r="E150" s="170" t="str">
        <f t="shared" si="5"/>
        <v/>
      </c>
      <c r="F150" s="170"/>
      <c r="G150" s="170"/>
      <c r="H150" s="170"/>
      <c r="I150" s="170"/>
      <c r="J150" s="170"/>
      <c r="K150" s="170"/>
      <c r="L150" s="170"/>
      <c r="M150" s="170"/>
      <c r="N150" s="170"/>
      <c r="O150" s="201"/>
    </row>
    <row r="151" spans="1:15" s="139" customFormat="1" ht="15.75">
      <c r="A151" s="205" t="str">
        <f>IF(ISNA(VLOOKUP(D151,'Standard Smelter Names'!$B$3:$E$153,4,FALSE)),"",VLOOKUP(D151,'Standard Smelter Names'!$B$3:$E$153,4,FALSE))</f>
        <v/>
      </c>
      <c r="B151" s="170"/>
      <c r="C151" s="184"/>
      <c r="D151" s="184" t="str">
        <f t="shared" si="4"/>
        <v/>
      </c>
      <c r="E151" s="170" t="str">
        <f t="shared" si="5"/>
        <v/>
      </c>
      <c r="F151" s="170"/>
      <c r="G151" s="170"/>
      <c r="H151" s="170"/>
      <c r="I151" s="170"/>
      <c r="J151" s="170"/>
      <c r="K151" s="170"/>
      <c r="L151" s="170"/>
      <c r="M151" s="170"/>
      <c r="N151" s="170"/>
      <c r="O151" s="201"/>
    </row>
    <row r="152" spans="1:15" s="139" customFormat="1" ht="15.75">
      <c r="A152" s="205" t="str">
        <f>IF(ISNA(VLOOKUP(D152,'Standard Smelter Names'!$B$3:$E$153,4,FALSE)),"",VLOOKUP(D152,'Standard Smelter Names'!$B$3:$E$153,4,FALSE))</f>
        <v/>
      </c>
      <c r="B152" s="170"/>
      <c r="C152" s="184"/>
      <c r="D152" s="184" t="str">
        <f t="shared" si="4"/>
        <v/>
      </c>
      <c r="E152" s="170" t="str">
        <f t="shared" si="5"/>
        <v/>
      </c>
      <c r="F152" s="170"/>
      <c r="G152" s="170"/>
      <c r="H152" s="170"/>
      <c r="I152" s="170"/>
      <c r="J152" s="170"/>
      <c r="K152" s="170"/>
      <c r="L152" s="170"/>
      <c r="M152" s="170"/>
      <c r="N152" s="170"/>
      <c r="O152" s="201"/>
    </row>
    <row r="153" spans="1:15" s="139" customFormat="1" ht="15.75">
      <c r="A153" s="205" t="str">
        <f>IF(ISNA(VLOOKUP(D153,'Standard Smelter Names'!$B$3:$E$153,4,FALSE)),"",VLOOKUP(D153,'Standard Smelter Names'!$B$3:$E$153,4,FALSE))</f>
        <v/>
      </c>
      <c r="B153" s="170"/>
      <c r="C153" s="184"/>
      <c r="D153" s="184" t="str">
        <f t="shared" si="4"/>
        <v/>
      </c>
      <c r="E153" s="170" t="str">
        <f t="shared" si="5"/>
        <v/>
      </c>
      <c r="F153" s="170"/>
      <c r="G153" s="170"/>
      <c r="H153" s="170"/>
      <c r="I153" s="170"/>
      <c r="J153" s="170"/>
      <c r="K153" s="170"/>
      <c r="L153" s="170"/>
      <c r="M153" s="170"/>
      <c r="N153" s="170"/>
      <c r="O153" s="201"/>
    </row>
    <row r="154" spans="1:15" s="139" customFormat="1" ht="15.75">
      <c r="A154" s="205" t="str">
        <f>IF(ISNA(VLOOKUP(D154,'Standard Smelter Names'!$B$3:$E$153,4,FALSE)),"",VLOOKUP(D154,'Standard Smelter Names'!$B$3:$E$153,4,FALSE))</f>
        <v/>
      </c>
      <c r="B154" s="170"/>
      <c r="C154" s="184"/>
      <c r="D154" s="184" t="str">
        <f t="shared" si="4"/>
        <v/>
      </c>
      <c r="E154" s="170" t="str">
        <f t="shared" si="5"/>
        <v/>
      </c>
      <c r="F154" s="170"/>
      <c r="G154" s="170"/>
      <c r="H154" s="170"/>
      <c r="I154" s="170"/>
      <c r="J154" s="170"/>
      <c r="K154" s="170"/>
      <c r="L154" s="170"/>
      <c r="M154" s="170"/>
      <c r="N154" s="170"/>
      <c r="O154" s="201"/>
    </row>
    <row r="155" spans="1:15" s="139" customFormat="1" ht="15.75">
      <c r="A155" s="205" t="str">
        <f>IF(ISNA(VLOOKUP(D155,'Standard Smelter Names'!$B$3:$E$153,4,FALSE)),"",VLOOKUP(D155,'Standard Smelter Names'!$B$3:$E$153,4,FALSE))</f>
        <v/>
      </c>
      <c r="B155" s="170"/>
      <c r="C155" s="184"/>
      <c r="D155" s="184" t="str">
        <f t="shared" si="4"/>
        <v/>
      </c>
      <c r="E155" s="170" t="str">
        <f t="shared" si="5"/>
        <v/>
      </c>
      <c r="F155" s="170"/>
      <c r="G155" s="170"/>
      <c r="H155" s="170"/>
      <c r="I155" s="170"/>
      <c r="J155" s="170"/>
      <c r="K155" s="170"/>
      <c r="L155" s="170"/>
      <c r="M155" s="170"/>
      <c r="N155" s="170"/>
      <c r="O155" s="201"/>
    </row>
    <row r="156" spans="1:15" s="139" customFormat="1" ht="15.75">
      <c r="A156" s="205" t="str">
        <f>IF(ISNA(VLOOKUP(D156,'Standard Smelter Names'!$B$3:$E$153,4,FALSE)),"",VLOOKUP(D156,'Standard Smelter Names'!$B$3:$E$153,4,FALSE))</f>
        <v/>
      </c>
      <c r="B156" s="170"/>
      <c r="C156" s="184"/>
      <c r="D156" s="184" t="str">
        <f t="shared" si="4"/>
        <v/>
      </c>
      <c r="E156" s="170" t="str">
        <f t="shared" si="5"/>
        <v/>
      </c>
      <c r="F156" s="170"/>
      <c r="G156" s="170"/>
      <c r="H156" s="170"/>
      <c r="I156" s="170"/>
      <c r="J156" s="170"/>
      <c r="K156" s="170"/>
      <c r="L156" s="170"/>
      <c r="M156" s="170"/>
      <c r="N156" s="170"/>
      <c r="O156" s="201"/>
    </row>
    <row r="157" spans="1:15" s="139" customFormat="1" ht="15.75">
      <c r="A157" s="205" t="str">
        <f>IF(ISNA(VLOOKUP(D157,'Standard Smelter Names'!$B$3:$E$153,4,FALSE)),"",VLOOKUP(D157,'Standard Smelter Names'!$B$3:$E$153,4,FALSE))</f>
        <v/>
      </c>
      <c r="B157" s="170"/>
      <c r="C157" s="184"/>
      <c r="D157" s="184" t="str">
        <f t="shared" si="4"/>
        <v/>
      </c>
      <c r="E157" s="170" t="str">
        <f t="shared" si="5"/>
        <v/>
      </c>
      <c r="F157" s="170"/>
      <c r="G157" s="170"/>
      <c r="H157" s="170"/>
      <c r="I157" s="170"/>
      <c r="J157" s="170"/>
      <c r="K157" s="170"/>
      <c r="L157" s="170"/>
      <c r="M157" s="170"/>
      <c r="N157" s="170"/>
      <c r="O157" s="201"/>
    </row>
    <row r="158" spans="1:15" s="139" customFormat="1" ht="15.75">
      <c r="A158" s="205" t="str">
        <f>IF(ISNA(VLOOKUP(D158,'Standard Smelter Names'!$B$3:$E$153,4,FALSE)),"",VLOOKUP(D158,'Standard Smelter Names'!$B$3:$E$153,4,FALSE))</f>
        <v/>
      </c>
      <c r="B158" s="170"/>
      <c r="C158" s="184"/>
      <c r="D158" s="184" t="str">
        <f t="shared" si="4"/>
        <v/>
      </c>
      <c r="E158" s="170" t="str">
        <f t="shared" si="5"/>
        <v/>
      </c>
      <c r="F158" s="170"/>
      <c r="G158" s="170"/>
      <c r="H158" s="170"/>
      <c r="I158" s="170"/>
      <c r="J158" s="170"/>
      <c r="K158" s="170"/>
      <c r="L158" s="170"/>
      <c r="M158" s="170"/>
      <c r="N158" s="170"/>
      <c r="O158" s="201"/>
    </row>
    <row r="159" spans="1:15" s="139" customFormat="1" ht="15.75">
      <c r="A159" s="205" t="str">
        <f>IF(ISNA(VLOOKUP(D159,'Standard Smelter Names'!$B$3:$E$153,4,FALSE)),"",VLOOKUP(D159,'Standard Smelter Names'!$B$3:$E$153,4,FALSE))</f>
        <v/>
      </c>
      <c r="B159" s="170"/>
      <c r="C159" s="184"/>
      <c r="D159" s="184" t="str">
        <f t="shared" si="4"/>
        <v/>
      </c>
      <c r="E159" s="170" t="str">
        <f t="shared" si="5"/>
        <v/>
      </c>
      <c r="F159" s="170"/>
      <c r="G159" s="170"/>
      <c r="H159" s="170"/>
      <c r="I159" s="170"/>
      <c r="J159" s="170"/>
      <c r="K159" s="170"/>
      <c r="L159" s="170"/>
      <c r="M159" s="170"/>
      <c r="N159" s="170"/>
      <c r="O159" s="201"/>
    </row>
    <row r="160" spans="1:15" s="139" customFormat="1" ht="15.75">
      <c r="A160" s="205" t="str">
        <f>IF(ISNA(VLOOKUP(D160,'Standard Smelter Names'!$B$3:$E$153,4,FALSE)),"",VLOOKUP(D160,'Standard Smelter Names'!$B$3:$E$153,4,FALSE))</f>
        <v/>
      </c>
      <c r="B160" s="170"/>
      <c r="C160" s="184"/>
      <c r="D160" s="184" t="str">
        <f t="shared" si="4"/>
        <v/>
      </c>
      <c r="E160" s="170" t="str">
        <f t="shared" si="5"/>
        <v/>
      </c>
      <c r="F160" s="170"/>
      <c r="G160" s="170"/>
      <c r="H160" s="170"/>
      <c r="I160" s="170"/>
      <c r="J160" s="170"/>
      <c r="K160" s="170"/>
      <c r="L160" s="170"/>
      <c r="M160" s="170"/>
      <c r="N160" s="170"/>
      <c r="O160" s="201"/>
    </row>
    <row r="161" spans="1:15" s="139" customFormat="1" ht="15.75">
      <c r="A161" s="205" t="str">
        <f>IF(ISNA(VLOOKUP(D161,'Standard Smelter Names'!$B$3:$E$153,4,FALSE)),"",VLOOKUP(D161,'Standard Smelter Names'!$B$3:$E$153,4,FALSE))</f>
        <v/>
      </c>
      <c r="B161" s="170"/>
      <c r="C161" s="184"/>
      <c r="D161" s="184" t="str">
        <f t="shared" si="4"/>
        <v/>
      </c>
      <c r="E161" s="170" t="str">
        <f t="shared" si="5"/>
        <v/>
      </c>
      <c r="F161" s="170"/>
      <c r="G161" s="170"/>
      <c r="H161" s="170"/>
      <c r="I161" s="170"/>
      <c r="J161" s="170"/>
      <c r="K161" s="170"/>
      <c r="L161" s="170"/>
      <c r="M161" s="170"/>
      <c r="N161" s="170"/>
      <c r="O161" s="201"/>
    </row>
    <row r="162" spans="1:15" s="139" customFormat="1" ht="15.75">
      <c r="A162" s="205" t="str">
        <f>IF(ISNA(VLOOKUP(D162,'Standard Smelter Names'!$B$3:$E$153,4,FALSE)),"",VLOOKUP(D162,'Standard Smelter Names'!$B$3:$E$153,4,FALSE))</f>
        <v/>
      </c>
      <c r="B162" s="170"/>
      <c r="C162" s="184"/>
      <c r="D162" s="184" t="str">
        <f t="shared" si="4"/>
        <v/>
      </c>
      <c r="E162" s="170" t="str">
        <f t="shared" si="5"/>
        <v/>
      </c>
      <c r="F162" s="170"/>
      <c r="G162" s="170"/>
      <c r="H162" s="170"/>
      <c r="I162" s="170"/>
      <c r="J162" s="170"/>
      <c r="K162" s="170"/>
      <c r="L162" s="170"/>
      <c r="M162" s="170"/>
      <c r="N162" s="170"/>
      <c r="O162" s="201"/>
    </row>
    <row r="163" spans="1:15" s="139" customFormat="1" ht="15.75">
      <c r="A163" s="205" t="str">
        <f>IF(ISNA(VLOOKUP(D163,'Standard Smelter Names'!$B$3:$E$153,4,FALSE)),"",VLOOKUP(D163,'Standard Smelter Names'!$B$3:$E$153,4,FALSE))</f>
        <v/>
      </c>
      <c r="B163" s="170"/>
      <c r="C163" s="184"/>
      <c r="D163" s="184" t="str">
        <f t="shared" si="4"/>
        <v/>
      </c>
      <c r="E163" s="170" t="str">
        <f t="shared" si="5"/>
        <v/>
      </c>
      <c r="F163" s="170"/>
      <c r="G163" s="170"/>
      <c r="H163" s="170"/>
      <c r="I163" s="170"/>
      <c r="J163" s="170"/>
      <c r="K163" s="170"/>
      <c r="L163" s="170"/>
      <c r="M163" s="170"/>
      <c r="N163" s="170"/>
      <c r="O163" s="201"/>
    </row>
    <row r="164" spans="1:15" s="139" customFormat="1" ht="15.75">
      <c r="A164" s="205" t="str">
        <f>IF(ISNA(VLOOKUP(D164,'Standard Smelter Names'!$B$3:$E$153,4,FALSE)),"",VLOOKUP(D164,'Standard Smelter Names'!$B$3:$E$153,4,FALSE))</f>
        <v/>
      </c>
      <c r="B164" s="170"/>
      <c r="C164" s="184"/>
      <c r="D164" s="184" t="str">
        <f t="shared" si="4"/>
        <v/>
      </c>
      <c r="E164" s="170" t="str">
        <f t="shared" si="5"/>
        <v/>
      </c>
      <c r="F164" s="170"/>
      <c r="G164" s="170"/>
      <c r="H164" s="170"/>
      <c r="I164" s="170"/>
      <c r="J164" s="170"/>
      <c r="K164" s="170"/>
      <c r="L164" s="170"/>
      <c r="M164" s="170"/>
      <c r="N164" s="170"/>
      <c r="O164" s="201"/>
    </row>
    <row r="165" spans="1:15" s="139" customFormat="1" ht="15.75">
      <c r="A165" s="205" t="str">
        <f>IF(ISNA(VLOOKUP(D165,'Standard Smelter Names'!$B$3:$E$153,4,FALSE)),"",VLOOKUP(D165,'Standard Smelter Names'!$B$3:$E$153,4,FALSE))</f>
        <v/>
      </c>
      <c r="B165" s="170"/>
      <c r="C165" s="184"/>
      <c r="D165" s="184" t="str">
        <f t="shared" si="4"/>
        <v/>
      </c>
      <c r="E165" s="170" t="str">
        <f t="shared" si="5"/>
        <v/>
      </c>
      <c r="F165" s="170"/>
      <c r="G165" s="170"/>
      <c r="H165" s="170"/>
      <c r="I165" s="170"/>
      <c r="J165" s="170"/>
      <c r="K165" s="170"/>
      <c r="L165" s="170"/>
      <c r="M165" s="170"/>
      <c r="N165" s="170"/>
      <c r="O165" s="201"/>
    </row>
    <row r="166" spans="1:15" s="139" customFormat="1" ht="15.75">
      <c r="A166" s="205" t="str">
        <f>IF(ISNA(VLOOKUP(D166,'Standard Smelter Names'!$B$3:$E$153,4,FALSE)),"",VLOOKUP(D166,'Standard Smelter Names'!$B$3:$E$153,4,FALSE))</f>
        <v/>
      </c>
      <c r="B166" s="170"/>
      <c r="C166" s="184"/>
      <c r="D166" s="184" t="str">
        <f t="shared" si="4"/>
        <v/>
      </c>
      <c r="E166" s="170" t="str">
        <f t="shared" si="5"/>
        <v/>
      </c>
      <c r="F166" s="170"/>
      <c r="G166" s="170"/>
      <c r="H166" s="170"/>
      <c r="I166" s="170"/>
      <c r="J166" s="170"/>
      <c r="K166" s="170"/>
      <c r="L166" s="170"/>
      <c r="M166" s="170"/>
      <c r="N166" s="170"/>
      <c r="O166" s="201"/>
    </row>
    <row r="167" spans="1:15" s="139" customFormat="1" ht="15.75">
      <c r="A167" s="205" t="str">
        <f>IF(ISNA(VLOOKUP(D167,'Standard Smelter Names'!$B$3:$E$153,4,FALSE)),"",VLOOKUP(D167,'Standard Smelter Names'!$B$3:$E$153,4,FALSE))</f>
        <v/>
      </c>
      <c r="B167" s="170"/>
      <c r="C167" s="184"/>
      <c r="D167" s="184" t="str">
        <f t="shared" si="4"/>
        <v/>
      </c>
      <c r="E167" s="170" t="str">
        <f t="shared" si="5"/>
        <v/>
      </c>
      <c r="F167" s="170"/>
      <c r="G167" s="170"/>
      <c r="H167" s="170"/>
      <c r="I167" s="170"/>
      <c r="J167" s="170"/>
      <c r="K167" s="170"/>
      <c r="L167" s="170"/>
      <c r="M167" s="170"/>
      <c r="N167" s="170"/>
      <c r="O167" s="201"/>
    </row>
    <row r="168" spans="1:15" s="139" customFormat="1" ht="15.75">
      <c r="A168" s="205" t="str">
        <f>IF(ISNA(VLOOKUP(D168,'Standard Smelter Names'!$B$3:$E$153,4,FALSE)),"",VLOOKUP(D168,'Standard Smelter Names'!$B$3:$E$153,4,FALSE))</f>
        <v/>
      </c>
      <c r="B168" s="170"/>
      <c r="C168" s="184"/>
      <c r="D168" s="184" t="str">
        <f t="shared" si="4"/>
        <v/>
      </c>
      <c r="E168" s="170" t="str">
        <f t="shared" si="5"/>
        <v/>
      </c>
      <c r="F168" s="170"/>
      <c r="G168" s="170"/>
      <c r="H168" s="170"/>
      <c r="I168" s="170"/>
      <c r="J168" s="170"/>
      <c r="K168" s="170"/>
      <c r="L168" s="170"/>
      <c r="M168" s="170"/>
      <c r="N168" s="170"/>
      <c r="O168" s="201"/>
    </row>
    <row r="169" spans="1:15" s="139" customFormat="1" ht="15.75">
      <c r="A169" s="205" t="str">
        <f>IF(ISNA(VLOOKUP(D169,'Standard Smelter Names'!$B$3:$E$153,4,FALSE)),"",VLOOKUP(D169,'Standard Smelter Names'!$B$3:$E$153,4,FALSE))</f>
        <v/>
      </c>
      <c r="B169" s="170"/>
      <c r="C169" s="184"/>
      <c r="D169" s="184" t="str">
        <f t="shared" si="4"/>
        <v/>
      </c>
      <c r="E169" s="170" t="str">
        <f t="shared" si="5"/>
        <v/>
      </c>
      <c r="F169" s="170"/>
      <c r="G169" s="170"/>
      <c r="H169" s="170"/>
      <c r="I169" s="170"/>
      <c r="J169" s="170"/>
      <c r="K169" s="170"/>
      <c r="L169" s="170"/>
      <c r="M169" s="170"/>
      <c r="N169" s="170"/>
      <c r="O169" s="201"/>
    </row>
    <row r="170" spans="1:15" s="139" customFormat="1" ht="15.75">
      <c r="A170" s="205" t="str">
        <f>IF(ISNA(VLOOKUP(D170,'Standard Smelter Names'!$B$3:$E$153,4,FALSE)),"",VLOOKUP(D170,'Standard Smelter Names'!$B$3:$E$153,4,FALSE))</f>
        <v/>
      </c>
      <c r="B170" s="170"/>
      <c r="C170" s="184"/>
      <c r="D170" s="184" t="str">
        <f t="shared" si="4"/>
        <v/>
      </c>
      <c r="E170" s="170" t="str">
        <f t="shared" si="5"/>
        <v/>
      </c>
      <c r="F170" s="170"/>
      <c r="G170" s="170"/>
      <c r="H170" s="170"/>
      <c r="I170" s="170"/>
      <c r="J170" s="170"/>
      <c r="K170" s="170"/>
      <c r="L170" s="170"/>
      <c r="M170" s="170"/>
      <c r="N170" s="170"/>
      <c r="O170" s="201"/>
    </row>
    <row r="171" spans="1:15" s="139" customFormat="1" ht="15.75">
      <c r="A171" s="205" t="str">
        <f>IF(ISNA(VLOOKUP(D171,'Standard Smelter Names'!$B$3:$E$153,4,FALSE)),"",VLOOKUP(D171,'Standard Smelter Names'!$B$3:$E$153,4,FALSE))</f>
        <v/>
      </c>
      <c r="B171" s="170"/>
      <c r="C171" s="184"/>
      <c r="D171" s="184" t="str">
        <f t="shared" si="4"/>
        <v/>
      </c>
      <c r="E171" s="170" t="str">
        <f t="shared" si="5"/>
        <v/>
      </c>
      <c r="F171" s="170"/>
      <c r="G171" s="170"/>
      <c r="H171" s="170"/>
      <c r="I171" s="170"/>
      <c r="J171" s="170"/>
      <c r="K171" s="170"/>
      <c r="L171" s="170"/>
      <c r="M171" s="170"/>
      <c r="N171" s="170"/>
      <c r="O171" s="201"/>
    </row>
    <row r="172" spans="1:15" s="139" customFormat="1" ht="15.75">
      <c r="A172" s="205" t="str">
        <f>IF(ISNA(VLOOKUP(D172,'Standard Smelter Names'!$B$3:$E$153,4,FALSE)),"",VLOOKUP(D172,'Standard Smelter Names'!$B$3:$E$153,4,FALSE))</f>
        <v/>
      </c>
      <c r="B172" s="170"/>
      <c r="C172" s="184"/>
      <c r="D172" s="184" t="str">
        <f t="shared" si="4"/>
        <v/>
      </c>
      <c r="E172" s="170" t="str">
        <f t="shared" si="5"/>
        <v/>
      </c>
      <c r="F172" s="170"/>
      <c r="G172" s="170"/>
      <c r="H172" s="170"/>
      <c r="I172" s="170"/>
      <c r="J172" s="170"/>
      <c r="K172" s="170"/>
      <c r="L172" s="170"/>
      <c r="M172" s="170"/>
      <c r="N172" s="170"/>
      <c r="O172" s="201"/>
    </row>
    <row r="173" spans="1:15" s="139" customFormat="1" ht="15.75">
      <c r="A173" s="205" t="str">
        <f>IF(ISNA(VLOOKUP(D173,'Standard Smelter Names'!$B$3:$E$153,4,FALSE)),"",VLOOKUP(D173,'Standard Smelter Names'!$B$3:$E$153,4,FALSE))</f>
        <v/>
      </c>
      <c r="B173" s="170"/>
      <c r="C173" s="184"/>
      <c r="D173" s="184" t="str">
        <f t="shared" si="4"/>
        <v/>
      </c>
      <c r="E173" s="170" t="str">
        <f t="shared" si="5"/>
        <v/>
      </c>
      <c r="F173" s="170"/>
      <c r="G173" s="170"/>
      <c r="H173" s="170"/>
      <c r="I173" s="170"/>
      <c r="J173" s="170"/>
      <c r="K173" s="170"/>
      <c r="L173" s="170"/>
      <c r="M173" s="170"/>
      <c r="N173" s="170"/>
      <c r="O173" s="201"/>
    </row>
    <row r="174" spans="1:15" s="139" customFormat="1" ht="15.75">
      <c r="A174" s="205" t="str">
        <f>IF(ISNA(VLOOKUP(D174,'Standard Smelter Names'!$B$3:$E$153,4,FALSE)),"",VLOOKUP(D174,'Standard Smelter Names'!$B$3:$E$153,4,FALSE))</f>
        <v/>
      </c>
      <c r="B174" s="170"/>
      <c r="C174" s="184"/>
      <c r="D174" s="184" t="str">
        <f t="shared" si="4"/>
        <v/>
      </c>
      <c r="E174" s="170" t="str">
        <f t="shared" si="5"/>
        <v/>
      </c>
      <c r="F174" s="170"/>
      <c r="G174" s="170"/>
      <c r="H174" s="170"/>
      <c r="I174" s="170"/>
      <c r="J174" s="170"/>
      <c r="K174" s="170"/>
      <c r="L174" s="170"/>
      <c r="M174" s="170"/>
      <c r="N174" s="170"/>
      <c r="O174" s="201"/>
    </row>
    <row r="175" spans="1:15" s="139" customFormat="1" ht="15.75">
      <c r="A175" s="205" t="str">
        <f>IF(ISNA(VLOOKUP(D175,'Standard Smelter Names'!$B$3:$E$153,4,FALSE)),"",VLOOKUP(D175,'Standard Smelter Names'!$B$3:$E$153,4,FALSE))</f>
        <v/>
      </c>
      <c r="B175" s="170"/>
      <c r="C175" s="184"/>
      <c r="D175" s="184" t="str">
        <f t="shared" si="4"/>
        <v/>
      </c>
      <c r="E175" s="170" t="str">
        <f t="shared" si="5"/>
        <v/>
      </c>
      <c r="F175" s="170"/>
      <c r="G175" s="170"/>
      <c r="H175" s="170"/>
      <c r="I175" s="170"/>
      <c r="J175" s="170"/>
      <c r="K175" s="170"/>
      <c r="L175" s="170"/>
      <c r="M175" s="170"/>
      <c r="N175" s="170"/>
      <c r="O175" s="201"/>
    </row>
    <row r="176" spans="1:15" s="139" customFormat="1" ht="15.75">
      <c r="A176" s="205" t="str">
        <f>IF(ISNA(VLOOKUP(D176,'Standard Smelter Names'!$B$3:$E$153,4,FALSE)),"",VLOOKUP(D176,'Standard Smelter Names'!$B$3:$E$153,4,FALSE))</f>
        <v/>
      </c>
      <c r="B176" s="170"/>
      <c r="C176" s="184"/>
      <c r="D176" s="184" t="str">
        <f t="shared" si="4"/>
        <v/>
      </c>
      <c r="E176" s="170" t="str">
        <f t="shared" si="5"/>
        <v/>
      </c>
      <c r="F176" s="170"/>
      <c r="G176" s="170"/>
      <c r="H176" s="170"/>
      <c r="I176" s="170"/>
      <c r="J176" s="170"/>
      <c r="K176" s="170"/>
      <c r="L176" s="170"/>
      <c r="M176" s="170"/>
      <c r="N176" s="170"/>
      <c r="O176" s="201"/>
    </row>
    <row r="177" spans="1:15" s="139" customFormat="1" ht="15.75">
      <c r="A177" s="205" t="str">
        <f>IF(ISNA(VLOOKUP(D177,'Standard Smelter Names'!$B$3:$E$153,4,FALSE)),"",VLOOKUP(D177,'Standard Smelter Names'!$B$3:$E$153,4,FALSE))</f>
        <v/>
      </c>
      <c r="B177" s="170"/>
      <c r="C177" s="184"/>
      <c r="D177" s="184" t="str">
        <f t="shared" si="4"/>
        <v/>
      </c>
      <c r="E177" s="170" t="str">
        <f t="shared" si="5"/>
        <v/>
      </c>
      <c r="F177" s="170"/>
      <c r="G177" s="170"/>
      <c r="H177" s="170"/>
      <c r="I177" s="170"/>
      <c r="J177" s="170"/>
      <c r="K177" s="170"/>
      <c r="L177" s="170"/>
      <c r="M177" s="170"/>
      <c r="N177" s="170"/>
      <c r="O177" s="201"/>
    </row>
    <row r="178" spans="1:15" s="139" customFormat="1" ht="15.75">
      <c r="A178" s="205" t="str">
        <f>IF(ISNA(VLOOKUP(D178,'Standard Smelter Names'!$B$3:$E$153,4,FALSE)),"",VLOOKUP(D178,'Standard Smelter Names'!$B$3:$E$153,4,FALSE))</f>
        <v/>
      </c>
      <c r="B178" s="170"/>
      <c r="C178" s="184"/>
      <c r="D178" s="184" t="str">
        <f t="shared" si="4"/>
        <v/>
      </c>
      <c r="E178" s="170" t="str">
        <f t="shared" si="5"/>
        <v/>
      </c>
      <c r="F178" s="170"/>
      <c r="G178" s="170"/>
      <c r="H178" s="170"/>
      <c r="I178" s="170"/>
      <c r="J178" s="170"/>
      <c r="K178" s="170"/>
      <c r="L178" s="170"/>
      <c r="M178" s="170"/>
      <c r="N178" s="170"/>
      <c r="O178" s="201"/>
    </row>
    <row r="179" spans="1:15" s="139" customFormat="1" ht="15.75">
      <c r="A179" s="205" t="str">
        <f>IF(ISNA(VLOOKUP(D179,'Standard Smelter Names'!$B$3:$E$153,4,FALSE)),"",VLOOKUP(D179,'Standard Smelter Names'!$B$3:$E$153,4,FALSE))</f>
        <v/>
      </c>
      <c r="B179" s="170"/>
      <c r="C179" s="184"/>
      <c r="D179" s="184" t="str">
        <f t="shared" si="4"/>
        <v/>
      </c>
      <c r="E179" s="170" t="str">
        <f t="shared" si="5"/>
        <v/>
      </c>
      <c r="F179" s="170"/>
      <c r="G179" s="170"/>
      <c r="H179" s="170"/>
      <c r="I179" s="170"/>
      <c r="J179" s="170"/>
      <c r="K179" s="170"/>
      <c r="L179" s="170"/>
      <c r="M179" s="170"/>
      <c r="N179" s="170"/>
      <c r="O179" s="201"/>
    </row>
    <row r="180" spans="1:15" s="139" customFormat="1" ht="15.75">
      <c r="A180" s="205" t="str">
        <f>IF(ISNA(VLOOKUP(D180,'Standard Smelter Names'!$B$3:$E$153,4,FALSE)),"",VLOOKUP(D180,'Standard Smelter Names'!$B$3:$E$153,4,FALSE))</f>
        <v/>
      </c>
      <c r="B180" s="170"/>
      <c r="C180" s="184"/>
      <c r="D180" s="184" t="str">
        <f t="shared" si="4"/>
        <v/>
      </c>
      <c r="E180" s="170" t="str">
        <f t="shared" si="5"/>
        <v/>
      </c>
      <c r="F180" s="170"/>
      <c r="G180" s="170"/>
      <c r="H180" s="170"/>
      <c r="I180" s="170"/>
      <c r="J180" s="170"/>
      <c r="K180" s="170"/>
      <c r="L180" s="170"/>
      <c r="M180" s="170"/>
      <c r="N180" s="170"/>
      <c r="O180" s="201"/>
    </row>
    <row r="181" spans="1:15" s="139" customFormat="1" ht="15.75">
      <c r="A181" s="205" t="str">
        <f>IF(ISNA(VLOOKUP(D181,'Standard Smelter Names'!$B$3:$E$153,4,FALSE)),"",VLOOKUP(D181,'Standard Smelter Names'!$B$3:$E$153,4,FALSE))</f>
        <v/>
      </c>
      <c r="B181" s="170"/>
      <c r="C181" s="184"/>
      <c r="D181" s="184" t="str">
        <f t="shared" si="4"/>
        <v/>
      </c>
      <c r="E181" s="170" t="str">
        <f t="shared" si="5"/>
        <v/>
      </c>
      <c r="F181" s="170"/>
      <c r="G181" s="170"/>
      <c r="H181" s="170"/>
      <c r="I181" s="170"/>
      <c r="J181" s="170"/>
      <c r="K181" s="170"/>
      <c r="L181" s="170"/>
      <c r="M181" s="170"/>
      <c r="N181" s="170"/>
      <c r="O181" s="201"/>
    </row>
    <row r="182" spans="1:15" s="139" customFormat="1" ht="15.75">
      <c r="A182" s="205" t="str">
        <f>IF(ISNA(VLOOKUP(D182,'Standard Smelter Names'!$B$3:$E$153,4,FALSE)),"",VLOOKUP(D182,'Standard Smelter Names'!$B$3:$E$153,4,FALSE))</f>
        <v/>
      </c>
      <c r="B182" s="170"/>
      <c r="C182" s="184"/>
      <c r="D182" s="184" t="str">
        <f t="shared" si="4"/>
        <v/>
      </c>
      <c r="E182" s="170" t="str">
        <f t="shared" si="5"/>
        <v/>
      </c>
      <c r="F182" s="170"/>
      <c r="G182" s="170"/>
      <c r="H182" s="170"/>
      <c r="I182" s="170"/>
      <c r="J182" s="170"/>
      <c r="K182" s="170"/>
      <c r="L182" s="170"/>
      <c r="M182" s="170"/>
      <c r="N182" s="170"/>
      <c r="O182" s="201"/>
    </row>
    <row r="183" spans="1:15" s="139" customFormat="1" ht="15.75">
      <c r="A183" s="205" t="str">
        <f>IF(ISNA(VLOOKUP(D183,'Standard Smelter Names'!$B$3:$E$153,4,FALSE)),"",VLOOKUP(D183,'Standard Smelter Names'!$B$3:$E$153,4,FALSE))</f>
        <v/>
      </c>
      <c r="B183" s="170"/>
      <c r="C183" s="184"/>
      <c r="D183" s="184" t="str">
        <f t="shared" si="4"/>
        <v/>
      </c>
      <c r="E183" s="170" t="str">
        <f t="shared" si="5"/>
        <v/>
      </c>
      <c r="F183" s="170"/>
      <c r="G183" s="170"/>
      <c r="H183" s="170"/>
      <c r="I183" s="170"/>
      <c r="J183" s="170"/>
      <c r="K183" s="170"/>
      <c r="L183" s="170"/>
      <c r="M183" s="170"/>
      <c r="N183" s="170"/>
      <c r="O183" s="201"/>
    </row>
    <row r="184" spans="1:15" s="139" customFormat="1" ht="15.75">
      <c r="A184" s="205" t="str">
        <f>IF(ISNA(VLOOKUP(D184,'Standard Smelter Names'!$B$3:$E$153,4,FALSE)),"",VLOOKUP(D184,'Standard Smelter Names'!$B$3:$E$153,4,FALSE))</f>
        <v/>
      </c>
      <c r="B184" s="170"/>
      <c r="C184" s="184"/>
      <c r="D184" s="184" t="str">
        <f t="shared" si="4"/>
        <v/>
      </c>
      <c r="E184" s="170" t="str">
        <f t="shared" si="5"/>
        <v/>
      </c>
      <c r="F184" s="170"/>
      <c r="G184" s="170"/>
      <c r="H184" s="170"/>
      <c r="I184" s="170"/>
      <c r="J184" s="170"/>
      <c r="K184" s="170"/>
      <c r="L184" s="170"/>
      <c r="M184" s="170"/>
      <c r="N184" s="170"/>
      <c r="O184" s="201"/>
    </row>
    <row r="185" spans="1:15" s="139" customFormat="1" ht="15.75">
      <c r="A185" s="205" t="str">
        <f>IF(ISNA(VLOOKUP(D185,'Standard Smelter Names'!$B$3:$E$153,4,FALSE)),"",VLOOKUP(D185,'Standard Smelter Names'!$B$3:$E$153,4,FALSE))</f>
        <v/>
      </c>
      <c r="B185" s="170"/>
      <c r="C185" s="184"/>
      <c r="D185" s="184" t="str">
        <f t="shared" si="4"/>
        <v/>
      </c>
      <c r="E185" s="170" t="str">
        <f t="shared" si="5"/>
        <v/>
      </c>
      <c r="F185" s="170"/>
      <c r="G185" s="170"/>
      <c r="H185" s="170"/>
      <c r="I185" s="170"/>
      <c r="J185" s="170"/>
      <c r="K185" s="170"/>
      <c r="L185" s="170"/>
      <c r="M185" s="170"/>
      <c r="N185" s="170"/>
      <c r="O185" s="201"/>
    </row>
    <row r="186" spans="1:15" s="139" customFormat="1" ht="15.75">
      <c r="A186" s="205" t="str">
        <f>IF(ISNA(VLOOKUP(D186,'Standard Smelter Names'!$B$3:$E$153,4,FALSE)),"",VLOOKUP(D186,'Standard Smelter Names'!$B$3:$E$153,4,FALSE))</f>
        <v/>
      </c>
      <c r="B186" s="170"/>
      <c r="C186" s="184"/>
      <c r="D186" s="184" t="str">
        <f t="shared" si="4"/>
        <v/>
      </c>
      <c r="E186" s="170" t="str">
        <f t="shared" si="5"/>
        <v/>
      </c>
      <c r="F186" s="170"/>
      <c r="G186" s="170"/>
      <c r="H186" s="170"/>
      <c r="I186" s="170"/>
      <c r="J186" s="170"/>
      <c r="K186" s="170"/>
      <c r="L186" s="170"/>
      <c r="M186" s="170"/>
      <c r="N186" s="170"/>
      <c r="O186" s="201"/>
    </row>
    <row r="187" spans="1:15" s="139" customFormat="1" ht="15.75">
      <c r="A187" s="205" t="str">
        <f>IF(ISNA(VLOOKUP(D187,'Standard Smelter Names'!$B$3:$E$153,4,FALSE)),"",VLOOKUP(D187,'Standard Smelter Names'!$B$3:$E$153,4,FALSE))</f>
        <v/>
      </c>
      <c r="B187" s="170"/>
      <c r="C187" s="184"/>
      <c r="D187" s="184" t="str">
        <f t="shared" si="4"/>
        <v/>
      </c>
      <c r="E187" s="170" t="str">
        <f t="shared" si="5"/>
        <v/>
      </c>
      <c r="F187" s="170"/>
      <c r="G187" s="170"/>
      <c r="H187" s="170"/>
      <c r="I187" s="170"/>
      <c r="J187" s="170"/>
      <c r="K187" s="170"/>
      <c r="L187" s="170"/>
      <c r="M187" s="170"/>
      <c r="N187" s="170"/>
      <c r="O187" s="201"/>
    </row>
    <row r="188" spans="1:15" s="139" customFormat="1" ht="15.75">
      <c r="A188" s="205" t="str">
        <f>IF(ISNA(VLOOKUP(D188,'Standard Smelter Names'!$B$3:$E$153,4,FALSE)),"",VLOOKUP(D188,'Standard Smelter Names'!$B$3:$E$153,4,FALSE))</f>
        <v/>
      </c>
      <c r="B188" s="170"/>
      <c r="C188" s="184"/>
      <c r="D188" s="184" t="str">
        <f t="shared" si="4"/>
        <v/>
      </c>
      <c r="E188" s="170" t="str">
        <f t="shared" si="5"/>
        <v/>
      </c>
      <c r="F188" s="170"/>
      <c r="G188" s="170"/>
      <c r="H188" s="170"/>
      <c r="I188" s="170"/>
      <c r="J188" s="170"/>
      <c r="K188" s="170"/>
      <c r="L188" s="170"/>
      <c r="M188" s="170"/>
      <c r="N188" s="170"/>
      <c r="O188" s="201"/>
    </row>
    <row r="189" spans="1:15" s="139" customFormat="1" ht="15.75">
      <c r="A189" s="205" t="str">
        <f>IF(ISNA(VLOOKUP(D189,'Standard Smelter Names'!$B$3:$E$153,4,FALSE)),"",VLOOKUP(D189,'Standard Smelter Names'!$B$3:$E$153,4,FALSE))</f>
        <v/>
      </c>
      <c r="B189" s="170"/>
      <c r="C189" s="184"/>
      <c r="D189" s="184" t="str">
        <f t="shared" si="4"/>
        <v/>
      </c>
      <c r="E189" s="170" t="str">
        <f t="shared" si="5"/>
        <v/>
      </c>
      <c r="F189" s="170"/>
      <c r="G189" s="170"/>
      <c r="H189" s="170"/>
      <c r="I189" s="170"/>
      <c r="J189" s="170"/>
      <c r="K189" s="170"/>
      <c r="L189" s="170"/>
      <c r="M189" s="170"/>
      <c r="N189" s="170"/>
      <c r="O189" s="201"/>
    </row>
    <row r="190" spans="1:15" s="139" customFormat="1" ht="15.75">
      <c r="A190" s="205" t="str">
        <f>IF(ISNA(VLOOKUP(D190,'Standard Smelter Names'!$B$3:$E$153,4,FALSE)),"",VLOOKUP(D190,'Standard Smelter Names'!$B$3:$E$153,4,FALSE))</f>
        <v/>
      </c>
      <c r="B190" s="170"/>
      <c r="C190" s="184"/>
      <c r="D190" s="184" t="str">
        <f t="shared" si="4"/>
        <v/>
      </c>
      <c r="E190" s="170" t="str">
        <f t="shared" si="5"/>
        <v/>
      </c>
      <c r="F190" s="170"/>
      <c r="G190" s="170"/>
      <c r="H190" s="170"/>
      <c r="I190" s="170"/>
      <c r="J190" s="170"/>
      <c r="K190" s="170"/>
      <c r="L190" s="170"/>
      <c r="M190" s="170"/>
      <c r="N190" s="170"/>
      <c r="O190" s="201"/>
    </row>
    <row r="191" spans="1:15" s="139" customFormat="1" ht="15.75">
      <c r="A191" s="205" t="str">
        <f>IF(ISNA(VLOOKUP(D191,'Standard Smelter Names'!$B$3:$E$153,4,FALSE)),"",VLOOKUP(D191,'Standard Smelter Names'!$B$3:$E$153,4,FALSE))</f>
        <v/>
      </c>
      <c r="B191" s="170"/>
      <c r="C191" s="184"/>
      <c r="D191" s="184" t="str">
        <f t="shared" si="4"/>
        <v/>
      </c>
      <c r="E191" s="170" t="str">
        <f t="shared" si="5"/>
        <v/>
      </c>
      <c r="F191" s="170"/>
      <c r="G191" s="170"/>
      <c r="H191" s="170"/>
      <c r="I191" s="170"/>
      <c r="J191" s="170"/>
      <c r="K191" s="170"/>
      <c r="L191" s="170"/>
      <c r="M191" s="170"/>
      <c r="N191" s="170"/>
      <c r="O191" s="201"/>
    </row>
    <row r="192" spans="1:15" s="139" customFormat="1" ht="15.75">
      <c r="A192" s="205" t="str">
        <f>IF(ISNA(VLOOKUP(D192,'Standard Smelter Names'!$B$3:$E$153,4,FALSE)),"",VLOOKUP(D192,'Standard Smelter Names'!$B$3:$E$153,4,FALSE))</f>
        <v/>
      </c>
      <c r="B192" s="170"/>
      <c r="C192" s="184"/>
      <c r="D192" s="184" t="str">
        <f t="shared" si="4"/>
        <v/>
      </c>
      <c r="E192" s="170" t="str">
        <f t="shared" si="5"/>
        <v/>
      </c>
      <c r="F192" s="170"/>
      <c r="G192" s="170"/>
      <c r="H192" s="170"/>
      <c r="I192" s="170"/>
      <c r="J192" s="170"/>
      <c r="K192" s="170"/>
      <c r="L192" s="170"/>
      <c r="M192" s="170"/>
      <c r="N192" s="170"/>
      <c r="O192" s="201"/>
    </row>
    <row r="193" spans="1:15" s="139" customFormat="1" ht="15.75">
      <c r="A193" s="205" t="str">
        <f>IF(ISNA(VLOOKUP(D193,'Standard Smelter Names'!$B$3:$E$153,4,FALSE)),"",VLOOKUP(D193,'Standard Smelter Names'!$B$3:$E$153,4,FALSE))</f>
        <v/>
      </c>
      <c r="B193" s="170"/>
      <c r="C193" s="184"/>
      <c r="D193" s="184" t="str">
        <f t="shared" si="4"/>
        <v/>
      </c>
      <c r="E193" s="170" t="str">
        <f t="shared" si="5"/>
        <v/>
      </c>
      <c r="F193" s="170"/>
      <c r="G193" s="170"/>
      <c r="H193" s="170"/>
      <c r="I193" s="170"/>
      <c r="J193" s="170"/>
      <c r="K193" s="170"/>
      <c r="L193" s="170"/>
      <c r="M193" s="170"/>
      <c r="N193" s="170"/>
      <c r="O193" s="201"/>
    </row>
    <row r="194" spans="1:15" s="139" customFormat="1" ht="15.75">
      <c r="A194" s="205" t="str">
        <f>IF(ISNA(VLOOKUP(D194,'Standard Smelter Names'!$B$3:$E$153,4,FALSE)),"",VLOOKUP(D194,'Standard Smelter Names'!$B$3:$E$153,4,FALSE))</f>
        <v/>
      </c>
      <c r="B194" s="170"/>
      <c r="C194" s="184"/>
      <c r="D194" s="184" t="str">
        <f t="shared" si="4"/>
        <v/>
      </c>
      <c r="E194" s="170" t="str">
        <f t="shared" si="5"/>
        <v/>
      </c>
      <c r="F194" s="170"/>
      <c r="G194" s="170"/>
      <c r="H194" s="170"/>
      <c r="I194" s="170"/>
      <c r="J194" s="170"/>
      <c r="K194" s="170"/>
      <c r="L194" s="170"/>
      <c r="M194" s="170"/>
      <c r="N194" s="170"/>
      <c r="O194" s="201"/>
    </row>
    <row r="195" spans="1:15" s="139" customFormat="1" ht="15.75">
      <c r="A195" s="205" t="str">
        <f>IF(ISNA(VLOOKUP(D195,'Standard Smelter Names'!$B$3:$E$153,4,FALSE)),"",VLOOKUP(D195,'Standard Smelter Names'!$B$3:$E$153,4,FALSE))</f>
        <v/>
      </c>
      <c r="B195" s="170"/>
      <c r="C195" s="184"/>
      <c r="D195" s="184" t="str">
        <f t="shared" si="4"/>
        <v/>
      </c>
      <c r="E195" s="170" t="str">
        <f t="shared" si="5"/>
        <v/>
      </c>
      <c r="F195" s="170"/>
      <c r="G195" s="170"/>
      <c r="H195" s="170"/>
      <c r="I195" s="170"/>
      <c r="J195" s="170"/>
      <c r="K195" s="170"/>
      <c r="L195" s="170"/>
      <c r="M195" s="170"/>
      <c r="N195" s="170"/>
      <c r="O195" s="201"/>
    </row>
    <row r="196" spans="1:15" s="139" customFormat="1" ht="15.75">
      <c r="A196" s="205" t="str">
        <f>IF(ISNA(VLOOKUP(D196,'Standard Smelter Names'!$B$3:$E$153,4,FALSE)),"",VLOOKUP(D196,'Standard Smelter Names'!$B$3:$E$153,4,FALSE))</f>
        <v/>
      </c>
      <c r="B196" s="170"/>
      <c r="C196" s="184"/>
      <c r="D196" s="184" t="str">
        <f t="shared" si="4"/>
        <v/>
      </c>
      <c r="E196" s="170" t="str">
        <f t="shared" si="5"/>
        <v/>
      </c>
      <c r="F196" s="170"/>
      <c r="G196" s="170"/>
      <c r="H196" s="170"/>
      <c r="I196" s="170"/>
      <c r="J196" s="170"/>
      <c r="K196" s="170"/>
      <c r="L196" s="170"/>
      <c r="M196" s="170"/>
      <c r="N196" s="170"/>
      <c r="O196" s="201"/>
    </row>
    <row r="197" spans="1:15" s="139" customFormat="1" ht="15.75">
      <c r="A197" s="205" t="str">
        <f>IF(ISNA(VLOOKUP(D197,'Standard Smelter Names'!$B$3:$E$153,4,FALSE)),"",VLOOKUP(D197,'Standard Smelter Names'!$B$3:$E$153,4,FALSE))</f>
        <v/>
      </c>
      <c r="B197" s="170"/>
      <c r="C197" s="184"/>
      <c r="D197" s="184" t="str">
        <f t="shared" ref="D197:D260" si="6">IF(ISNA(VLOOKUP(C197,$G$1023:$I$1309,3,FALSE)),"",VLOOKUP(C197,$G$1023:$I$1309,3,FALSE))</f>
        <v/>
      </c>
      <c r="E197" s="170" t="str">
        <f t="shared" ref="E197:E260" si="7">IF(ISNA(VLOOKUP(C197,$G$1023:$I$1309,2,FALSE)),"",VLOOKUP(C197,$G$1023:$I$1309,2,FALSE))</f>
        <v/>
      </c>
      <c r="F197" s="170"/>
      <c r="G197" s="170"/>
      <c r="H197" s="170"/>
      <c r="I197" s="170"/>
      <c r="J197" s="170"/>
      <c r="K197" s="170"/>
      <c r="L197" s="170"/>
      <c r="M197" s="170"/>
      <c r="N197" s="170"/>
      <c r="O197" s="201"/>
    </row>
    <row r="198" spans="1:15" s="139" customFormat="1" ht="15.75">
      <c r="A198" s="205" t="str">
        <f>IF(ISNA(VLOOKUP(D198,'Standard Smelter Names'!$B$3:$E$153,4,FALSE)),"",VLOOKUP(D198,'Standard Smelter Names'!$B$3:$E$153,4,FALSE))</f>
        <v/>
      </c>
      <c r="B198" s="170"/>
      <c r="C198" s="184"/>
      <c r="D198" s="184" t="str">
        <f t="shared" si="6"/>
        <v/>
      </c>
      <c r="E198" s="170" t="str">
        <f t="shared" si="7"/>
        <v/>
      </c>
      <c r="F198" s="170"/>
      <c r="G198" s="170"/>
      <c r="H198" s="170"/>
      <c r="I198" s="170"/>
      <c r="J198" s="170"/>
      <c r="K198" s="170"/>
      <c r="L198" s="170"/>
      <c r="M198" s="170"/>
      <c r="N198" s="170"/>
      <c r="O198" s="201"/>
    </row>
    <row r="199" spans="1:15" s="139" customFormat="1" ht="15.75">
      <c r="A199" s="205" t="str">
        <f>IF(ISNA(VLOOKUP(D199,'Standard Smelter Names'!$B$3:$E$153,4,FALSE)),"",VLOOKUP(D199,'Standard Smelter Names'!$B$3:$E$153,4,FALSE))</f>
        <v/>
      </c>
      <c r="B199" s="170"/>
      <c r="C199" s="184"/>
      <c r="D199" s="184" t="str">
        <f t="shared" si="6"/>
        <v/>
      </c>
      <c r="E199" s="170" t="str">
        <f t="shared" si="7"/>
        <v/>
      </c>
      <c r="F199" s="170"/>
      <c r="G199" s="170"/>
      <c r="H199" s="170"/>
      <c r="I199" s="170"/>
      <c r="J199" s="170"/>
      <c r="K199" s="170"/>
      <c r="L199" s="170"/>
      <c r="M199" s="170"/>
      <c r="N199" s="170"/>
      <c r="O199" s="201"/>
    </row>
    <row r="200" spans="1:15" s="139" customFormat="1" ht="15.75">
      <c r="A200" s="205" t="str">
        <f>IF(ISNA(VLOOKUP(D200,'Standard Smelter Names'!$B$3:$E$153,4,FALSE)),"",VLOOKUP(D200,'Standard Smelter Names'!$B$3:$E$153,4,FALSE))</f>
        <v/>
      </c>
      <c r="B200" s="170"/>
      <c r="C200" s="184"/>
      <c r="D200" s="184" t="str">
        <f t="shared" si="6"/>
        <v/>
      </c>
      <c r="E200" s="170" t="str">
        <f t="shared" si="7"/>
        <v/>
      </c>
      <c r="F200" s="170"/>
      <c r="G200" s="170"/>
      <c r="H200" s="170"/>
      <c r="I200" s="170"/>
      <c r="J200" s="170"/>
      <c r="K200" s="170"/>
      <c r="L200" s="170"/>
      <c r="M200" s="170"/>
      <c r="N200" s="170"/>
      <c r="O200" s="201"/>
    </row>
    <row r="201" spans="1:15" s="139" customFormat="1" ht="15.75">
      <c r="A201" s="205" t="str">
        <f>IF(ISNA(VLOOKUP(D201,'Standard Smelter Names'!$B$3:$E$153,4,FALSE)),"",VLOOKUP(D201,'Standard Smelter Names'!$B$3:$E$153,4,FALSE))</f>
        <v/>
      </c>
      <c r="B201" s="170"/>
      <c r="C201" s="184"/>
      <c r="D201" s="184" t="str">
        <f t="shared" si="6"/>
        <v/>
      </c>
      <c r="E201" s="170" t="str">
        <f t="shared" si="7"/>
        <v/>
      </c>
      <c r="F201" s="170"/>
      <c r="G201" s="170"/>
      <c r="H201" s="170"/>
      <c r="I201" s="170"/>
      <c r="J201" s="170"/>
      <c r="K201" s="170"/>
      <c r="L201" s="170"/>
      <c r="M201" s="170"/>
      <c r="N201" s="170"/>
      <c r="O201" s="201"/>
    </row>
    <row r="202" spans="1:15" s="139" customFormat="1" ht="15.75">
      <c r="A202" s="205" t="str">
        <f>IF(ISNA(VLOOKUP(D202,'Standard Smelter Names'!$B$3:$E$153,4,FALSE)),"",VLOOKUP(D202,'Standard Smelter Names'!$B$3:$E$153,4,FALSE))</f>
        <v/>
      </c>
      <c r="B202" s="170"/>
      <c r="C202" s="184"/>
      <c r="D202" s="184" t="str">
        <f t="shared" si="6"/>
        <v/>
      </c>
      <c r="E202" s="170" t="str">
        <f t="shared" si="7"/>
        <v/>
      </c>
      <c r="F202" s="170"/>
      <c r="G202" s="170"/>
      <c r="H202" s="170"/>
      <c r="I202" s="170"/>
      <c r="J202" s="170"/>
      <c r="K202" s="170"/>
      <c r="L202" s="170"/>
      <c r="M202" s="170"/>
      <c r="N202" s="170"/>
      <c r="O202" s="201"/>
    </row>
    <row r="203" spans="1:15" s="139" customFormat="1" ht="15.75">
      <c r="A203" s="205" t="str">
        <f>IF(ISNA(VLOOKUP(D203,'Standard Smelter Names'!$B$3:$E$153,4,FALSE)),"",VLOOKUP(D203,'Standard Smelter Names'!$B$3:$E$153,4,FALSE))</f>
        <v/>
      </c>
      <c r="B203" s="170"/>
      <c r="C203" s="184"/>
      <c r="D203" s="184" t="str">
        <f t="shared" si="6"/>
        <v/>
      </c>
      <c r="E203" s="170" t="str">
        <f t="shared" si="7"/>
        <v/>
      </c>
      <c r="F203" s="170"/>
      <c r="G203" s="170"/>
      <c r="H203" s="170"/>
      <c r="I203" s="170"/>
      <c r="J203" s="170"/>
      <c r="K203" s="170"/>
      <c r="L203" s="170"/>
      <c r="M203" s="170"/>
      <c r="N203" s="170"/>
      <c r="O203" s="201"/>
    </row>
    <row r="204" spans="1:15" s="139" customFormat="1" ht="15.75">
      <c r="A204" s="205" t="str">
        <f>IF(ISNA(VLOOKUP(D204,'Standard Smelter Names'!$B$3:$E$153,4,FALSE)),"",VLOOKUP(D204,'Standard Smelter Names'!$B$3:$E$153,4,FALSE))</f>
        <v/>
      </c>
      <c r="B204" s="170"/>
      <c r="C204" s="184"/>
      <c r="D204" s="184" t="str">
        <f t="shared" si="6"/>
        <v/>
      </c>
      <c r="E204" s="170" t="str">
        <f t="shared" si="7"/>
        <v/>
      </c>
      <c r="F204" s="170"/>
      <c r="G204" s="170"/>
      <c r="H204" s="170"/>
      <c r="I204" s="170"/>
      <c r="J204" s="170"/>
      <c r="K204" s="170"/>
      <c r="L204" s="170"/>
      <c r="M204" s="170"/>
      <c r="N204" s="170"/>
      <c r="O204" s="201"/>
    </row>
    <row r="205" spans="1:15" s="139" customFormat="1" ht="15.75">
      <c r="A205" s="205" t="str">
        <f>IF(ISNA(VLOOKUP(D205,'Standard Smelter Names'!$B$3:$E$153,4,FALSE)),"",VLOOKUP(D205,'Standard Smelter Names'!$B$3:$E$153,4,FALSE))</f>
        <v/>
      </c>
      <c r="B205" s="170"/>
      <c r="C205" s="184"/>
      <c r="D205" s="184" t="str">
        <f t="shared" si="6"/>
        <v/>
      </c>
      <c r="E205" s="170" t="str">
        <f t="shared" si="7"/>
        <v/>
      </c>
      <c r="F205" s="170"/>
      <c r="G205" s="170"/>
      <c r="H205" s="170"/>
      <c r="I205" s="170"/>
      <c r="J205" s="170"/>
      <c r="K205" s="170"/>
      <c r="L205" s="170"/>
      <c r="M205" s="170"/>
      <c r="N205" s="170"/>
      <c r="O205" s="201"/>
    </row>
    <row r="206" spans="1:15" s="139" customFormat="1" ht="15.75">
      <c r="A206" s="205" t="str">
        <f>IF(ISNA(VLOOKUP(D206,'Standard Smelter Names'!$B$3:$E$153,4,FALSE)),"",VLOOKUP(D206,'Standard Smelter Names'!$B$3:$E$153,4,FALSE))</f>
        <v/>
      </c>
      <c r="B206" s="170"/>
      <c r="C206" s="184"/>
      <c r="D206" s="184" t="str">
        <f t="shared" si="6"/>
        <v/>
      </c>
      <c r="E206" s="170" t="str">
        <f t="shared" si="7"/>
        <v/>
      </c>
      <c r="F206" s="170"/>
      <c r="G206" s="170"/>
      <c r="H206" s="170"/>
      <c r="I206" s="170"/>
      <c r="J206" s="170"/>
      <c r="K206" s="170"/>
      <c r="L206" s="170"/>
      <c r="M206" s="170"/>
      <c r="N206" s="170"/>
      <c r="O206" s="201"/>
    </row>
    <row r="207" spans="1:15" s="139" customFormat="1" ht="15.75">
      <c r="A207" s="205" t="str">
        <f>IF(ISNA(VLOOKUP(D207,'Standard Smelter Names'!$B$3:$E$153,4,FALSE)),"",VLOOKUP(D207,'Standard Smelter Names'!$B$3:$E$153,4,FALSE))</f>
        <v/>
      </c>
      <c r="B207" s="170"/>
      <c r="C207" s="184"/>
      <c r="D207" s="184" t="str">
        <f t="shared" si="6"/>
        <v/>
      </c>
      <c r="E207" s="170" t="str">
        <f t="shared" si="7"/>
        <v/>
      </c>
      <c r="F207" s="170"/>
      <c r="G207" s="170"/>
      <c r="H207" s="170"/>
      <c r="I207" s="170"/>
      <c r="J207" s="170"/>
      <c r="K207" s="170"/>
      <c r="L207" s="170"/>
      <c r="M207" s="170"/>
      <c r="N207" s="170"/>
      <c r="O207" s="201"/>
    </row>
    <row r="208" spans="1:15" s="139" customFormat="1" ht="15.75">
      <c r="A208" s="205" t="str">
        <f>IF(ISNA(VLOOKUP(D208,'Standard Smelter Names'!$B$3:$E$153,4,FALSE)),"",VLOOKUP(D208,'Standard Smelter Names'!$B$3:$E$153,4,FALSE))</f>
        <v/>
      </c>
      <c r="B208" s="170"/>
      <c r="C208" s="184"/>
      <c r="D208" s="184" t="str">
        <f t="shared" si="6"/>
        <v/>
      </c>
      <c r="E208" s="170" t="str">
        <f t="shared" si="7"/>
        <v/>
      </c>
      <c r="F208" s="170"/>
      <c r="G208" s="170"/>
      <c r="H208" s="170"/>
      <c r="I208" s="170"/>
      <c r="J208" s="170"/>
      <c r="K208" s="170"/>
      <c r="L208" s="170"/>
      <c r="M208" s="170"/>
      <c r="N208" s="170"/>
      <c r="O208" s="201"/>
    </row>
    <row r="209" spans="1:15" s="139" customFormat="1" ht="15.75">
      <c r="A209" s="205" t="str">
        <f>IF(ISNA(VLOOKUP(D209,'Standard Smelter Names'!$B$3:$E$153,4,FALSE)),"",VLOOKUP(D209,'Standard Smelter Names'!$B$3:$E$153,4,FALSE))</f>
        <v/>
      </c>
      <c r="B209" s="170"/>
      <c r="C209" s="184"/>
      <c r="D209" s="184" t="str">
        <f t="shared" si="6"/>
        <v/>
      </c>
      <c r="E209" s="170" t="str">
        <f t="shared" si="7"/>
        <v/>
      </c>
      <c r="F209" s="170"/>
      <c r="G209" s="170"/>
      <c r="H209" s="170"/>
      <c r="I209" s="170"/>
      <c r="J209" s="170"/>
      <c r="K209" s="170"/>
      <c r="L209" s="170"/>
      <c r="M209" s="170"/>
      <c r="N209" s="170"/>
      <c r="O209" s="201"/>
    </row>
    <row r="210" spans="1:15" s="139" customFormat="1" ht="15.75">
      <c r="A210" s="205" t="str">
        <f>IF(ISNA(VLOOKUP(D210,'Standard Smelter Names'!$B$3:$E$153,4,FALSE)),"",VLOOKUP(D210,'Standard Smelter Names'!$B$3:$E$153,4,FALSE))</f>
        <v/>
      </c>
      <c r="B210" s="170"/>
      <c r="C210" s="184"/>
      <c r="D210" s="184" t="str">
        <f t="shared" si="6"/>
        <v/>
      </c>
      <c r="E210" s="170" t="str">
        <f t="shared" si="7"/>
        <v/>
      </c>
      <c r="F210" s="170"/>
      <c r="G210" s="170"/>
      <c r="H210" s="170"/>
      <c r="I210" s="170"/>
      <c r="J210" s="170"/>
      <c r="K210" s="170"/>
      <c r="L210" s="170"/>
      <c r="M210" s="170"/>
      <c r="N210" s="170"/>
      <c r="O210" s="201"/>
    </row>
    <row r="211" spans="1:15" s="139" customFormat="1" ht="15.75">
      <c r="A211" s="205" t="str">
        <f>IF(ISNA(VLOOKUP(D211,'Standard Smelter Names'!$B$3:$E$153,4,FALSE)),"",VLOOKUP(D211,'Standard Smelter Names'!$B$3:$E$153,4,FALSE))</f>
        <v/>
      </c>
      <c r="B211" s="170"/>
      <c r="C211" s="184"/>
      <c r="D211" s="184" t="str">
        <f t="shared" si="6"/>
        <v/>
      </c>
      <c r="E211" s="170" t="str">
        <f t="shared" si="7"/>
        <v/>
      </c>
      <c r="F211" s="170"/>
      <c r="G211" s="170"/>
      <c r="H211" s="170"/>
      <c r="I211" s="170"/>
      <c r="J211" s="170"/>
      <c r="K211" s="170"/>
      <c r="L211" s="170"/>
      <c r="M211" s="170"/>
      <c r="N211" s="170"/>
      <c r="O211" s="201"/>
    </row>
    <row r="212" spans="1:15" s="139" customFormat="1" ht="15.75">
      <c r="A212" s="205" t="str">
        <f>IF(ISNA(VLOOKUP(D212,'Standard Smelter Names'!$B$3:$E$153,4,FALSE)),"",VLOOKUP(D212,'Standard Smelter Names'!$B$3:$E$153,4,FALSE))</f>
        <v/>
      </c>
      <c r="B212" s="170"/>
      <c r="C212" s="184"/>
      <c r="D212" s="184" t="str">
        <f t="shared" si="6"/>
        <v/>
      </c>
      <c r="E212" s="170" t="str">
        <f t="shared" si="7"/>
        <v/>
      </c>
      <c r="F212" s="170"/>
      <c r="G212" s="170"/>
      <c r="H212" s="170"/>
      <c r="I212" s="170"/>
      <c r="J212" s="170"/>
      <c r="K212" s="170"/>
      <c r="L212" s="170"/>
      <c r="M212" s="170"/>
      <c r="N212" s="170"/>
      <c r="O212" s="201"/>
    </row>
    <row r="213" spans="1:15" s="139" customFormat="1" ht="15.75">
      <c r="A213" s="205" t="str">
        <f>IF(ISNA(VLOOKUP(D213,'Standard Smelter Names'!$B$3:$E$153,4,FALSE)),"",VLOOKUP(D213,'Standard Smelter Names'!$B$3:$E$153,4,FALSE))</f>
        <v/>
      </c>
      <c r="B213" s="170"/>
      <c r="C213" s="184"/>
      <c r="D213" s="184" t="str">
        <f t="shared" si="6"/>
        <v/>
      </c>
      <c r="E213" s="170" t="str">
        <f t="shared" si="7"/>
        <v/>
      </c>
      <c r="F213" s="170"/>
      <c r="G213" s="170"/>
      <c r="H213" s="170"/>
      <c r="I213" s="170"/>
      <c r="J213" s="170"/>
      <c r="K213" s="170"/>
      <c r="L213" s="170"/>
      <c r="M213" s="170"/>
      <c r="N213" s="170"/>
      <c r="O213" s="201"/>
    </row>
    <row r="214" spans="1:15" s="139" customFormat="1" ht="15.75">
      <c r="A214" s="205" t="str">
        <f>IF(ISNA(VLOOKUP(D214,'Standard Smelter Names'!$B$3:$E$153,4,FALSE)),"",VLOOKUP(D214,'Standard Smelter Names'!$B$3:$E$153,4,FALSE))</f>
        <v/>
      </c>
      <c r="B214" s="170"/>
      <c r="C214" s="184"/>
      <c r="D214" s="184" t="str">
        <f t="shared" si="6"/>
        <v/>
      </c>
      <c r="E214" s="170" t="str">
        <f t="shared" si="7"/>
        <v/>
      </c>
      <c r="F214" s="170"/>
      <c r="G214" s="170"/>
      <c r="H214" s="170"/>
      <c r="I214" s="170"/>
      <c r="J214" s="170"/>
      <c r="K214" s="170"/>
      <c r="L214" s="170"/>
      <c r="M214" s="170"/>
      <c r="N214" s="170"/>
      <c r="O214" s="201"/>
    </row>
    <row r="215" spans="1:15" s="139" customFormat="1" ht="15.75">
      <c r="A215" s="205" t="str">
        <f>IF(ISNA(VLOOKUP(D215,'Standard Smelter Names'!$B$3:$E$153,4,FALSE)),"",VLOOKUP(D215,'Standard Smelter Names'!$B$3:$E$153,4,FALSE))</f>
        <v/>
      </c>
      <c r="B215" s="170"/>
      <c r="C215" s="184"/>
      <c r="D215" s="184" t="str">
        <f t="shared" si="6"/>
        <v/>
      </c>
      <c r="E215" s="170" t="str">
        <f t="shared" si="7"/>
        <v/>
      </c>
      <c r="F215" s="170"/>
      <c r="G215" s="170"/>
      <c r="H215" s="170"/>
      <c r="I215" s="170"/>
      <c r="J215" s="170"/>
      <c r="K215" s="170"/>
      <c r="L215" s="170"/>
      <c r="M215" s="170"/>
      <c r="N215" s="170"/>
      <c r="O215" s="201"/>
    </row>
    <row r="216" spans="1:15" s="139" customFormat="1" ht="15.75">
      <c r="A216" s="205" t="str">
        <f>IF(ISNA(VLOOKUP(D216,'Standard Smelter Names'!$B$3:$E$153,4,FALSE)),"",VLOOKUP(D216,'Standard Smelter Names'!$B$3:$E$153,4,FALSE))</f>
        <v/>
      </c>
      <c r="B216" s="170"/>
      <c r="C216" s="184"/>
      <c r="D216" s="184" t="str">
        <f t="shared" si="6"/>
        <v/>
      </c>
      <c r="E216" s="170" t="str">
        <f t="shared" si="7"/>
        <v/>
      </c>
      <c r="F216" s="170"/>
      <c r="G216" s="170"/>
      <c r="H216" s="170"/>
      <c r="I216" s="170"/>
      <c r="J216" s="170"/>
      <c r="K216" s="170"/>
      <c r="L216" s="170"/>
      <c r="M216" s="170"/>
      <c r="N216" s="170"/>
      <c r="O216" s="201"/>
    </row>
    <row r="217" spans="1:15" s="139" customFormat="1" ht="15.75">
      <c r="A217" s="205" t="str">
        <f>IF(ISNA(VLOOKUP(D217,'Standard Smelter Names'!$B$3:$E$153,4,FALSE)),"",VLOOKUP(D217,'Standard Smelter Names'!$B$3:$E$153,4,FALSE))</f>
        <v/>
      </c>
      <c r="B217" s="170"/>
      <c r="C217" s="184"/>
      <c r="D217" s="184" t="str">
        <f t="shared" si="6"/>
        <v/>
      </c>
      <c r="E217" s="170" t="str">
        <f t="shared" si="7"/>
        <v/>
      </c>
      <c r="F217" s="170"/>
      <c r="G217" s="170"/>
      <c r="H217" s="170"/>
      <c r="I217" s="170"/>
      <c r="J217" s="170"/>
      <c r="K217" s="170"/>
      <c r="L217" s="170"/>
      <c r="M217" s="170"/>
      <c r="N217" s="170"/>
      <c r="O217" s="201"/>
    </row>
    <row r="218" spans="1:15" s="139" customFormat="1" ht="15.75">
      <c r="A218" s="205" t="str">
        <f>IF(ISNA(VLOOKUP(D218,'Standard Smelter Names'!$B$3:$E$153,4,FALSE)),"",VLOOKUP(D218,'Standard Smelter Names'!$B$3:$E$153,4,FALSE))</f>
        <v/>
      </c>
      <c r="B218" s="170"/>
      <c r="C218" s="184"/>
      <c r="D218" s="184" t="str">
        <f t="shared" si="6"/>
        <v/>
      </c>
      <c r="E218" s="170" t="str">
        <f t="shared" si="7"/>
        <v/>
      </c>
      <c r="F218" s="170"/>
      <c r="G218" s="170"/>
      <c r="H218" s="170"/>
      <c r="I218" s="170"/>
      <c r="J218" s="170"/>
      <c r="K218" s="170"/>
      <c r="L218" s="170"/>
      <c r="M218" s="170"/>
      <c r="N218" s="170"/>
      <c r="O218" s="201"/>
    </row>
    <row r="219" spans="1:15" s="139" customFormat="1" ht="15.75">
      <c r="A219" s="205" t="str">
        <f>IF(ISNA(VLOOKUP(D219,'Standard Smelter Names'!$B$3:$E$153,4,FALSE)),"",VLOOKUP(D219,'Standard Smelter Names'!$B$3:$E$153,4,FALSE))</f>
        <v/>
      </c>
      <c r="B219" s="170"/>
      <c r="C219" s="184"/>
      <c r="D219" s="184" t="str">
        <f t="shared" si="6"/>
        <v/>
      </c>
      <c r="E219" s="170" t="str">
        <f t="shared" si="7"/>
        <v/>
      </c>
      <c r="F219" s="170"/>
      <c r="G219" s="170"/>
      <c r="H219" s="170"/>
      <c r="I219" s="170"/>
      <c r="J219" s="170"/>
      <c r="K219" s="170"/>
      <c r="L219" s="170"/>
      <c r="M219" s="170"/>
      <c r="N219" s="170"/>
      <c r="O219" s="201"/>
    </row>
    <row r="220" spans="1:15" s="139" customFormat="1" ht="15.75">
      <c r="A220" s="205" t="str">
        <f>IF(ISNA(VLOOKUP(D220,'Standard Smelter Names'!$B$3:$E$153,4,FALSE)),"",VLOOKUP(D220,'Standard Smelter Names'!$B$3:$E$153,4,FALSE))</f>
        <v/>
      </c>
      <c r="B220" s="170"/>
      <c r="C220" s="184"/>
      <c r="D220" s="184" t="str">
        <f t="shared" si="6"/>
        <v/>
      </c>
      <c r="E220" s="170" t="str">
        <f t="shared" si="7"/>
        <v/>
      </c>
      <c r="F220" s="170"/>
      <c r="G220" s="170"/>
      <c r="H220" s="170"/>
      <c r="I220" s="170"/>
      <c r="J220" s="170"/>
      <c r="K220" s="170"/>
      <c r="L220" s="170"/>
      <c r="M220" s="170"/>
      <c r="N220" s="170"/>
      <c r="O220" s="201"/>
    </row>
    <row r="221" spans="1:15" s="139" customFormat="1" ht="15.75">
      <c r="A221" s="205" t="str">
        <f>IF(ISNA(VLOOKUP(D221,'Standard Smelter Names'!$B$3:$E$153,4,FALSE)),"",VLOOKUP(D221,'Standard Smelter Names'!$B$3:$E$153,4,FALSE))</f>
        <v/>
      </c>
      <c r="B221" s="170"/>
      <c r="C221" s="184"/>
      <c r="D221" s="184" t="str">
        <f t="shared" si="6"/>
        <v/>
      </c>
      <c r="E221" s="170" t="str">
        <f t="shared" si="7"/>
        <v/>
      </c>
      <c r="F221" s="170"/>
      <c r="G221" s="170"/>
      <c r="H221" s="170"/>
      <c r="I221" s="170"/>
      <c r="J221" s="170"/>
      <c r="K221" s="170"/>
      <c r="L221" s="170"/>
      <c r="M221" s="170"/>
      <c r="N221" s="170"/>
      <c r="O221" s="201"/>
    </row>
    <row r="222" spans="1:15" s="139" customFormat="1" ht="15.75">
      <c r="A222" s="205" t="str">
        <f>IF(ISNA(VLOOKUP(D222,'Standard Smelter Names'!$B$3:$E$153,4,FALSE)),"",VLOOKUP(D222,'Standard Smelter Names'!$B$3:$E$153,4,FALSE))</f>
        <v/>
      </c>
      <c r="B222" s="170"/>
      <c r="C222" s="184"/>
      <c r="D222" s="184" t="str">
        <f t="shared" si="6"/>
        <v/>
      </c>
      <c r="E222" s="170" t="str">
        <f t="shared" si="7"/>
        <v/>
      </c>
      <c r="F222" s="170"/>
      <c r="G222" s="170"/>
      <c r="H222" s="170"/>
      <c r="I222" s="170"/>
      <c r="J222" s="170"/>
      <c r="K222" s="170"/>
      <c r="L222" s="170"/>
      <c r="M222" s="170"/>
      <c r="N222" s="170"/>
      <c r="O222" s="201"/>
    </row>
    <row r="223" spans="1:15" s="139" customFormat="1" ht="15.75">
      <c r="A223" s="205" t="str">
        <f>IF(ISNA(VLOOKUP(D223,'Standard Smelter Names'!$B$3:$E$153,4,FALSE)),"",VLOOKUP(D223,'Standard Smelter Names'!$B$3:$E$153,4,FALSE))</f>
        <v/>
      </c>
      <c r="B223" s="170"/>
      <c r="C223" s="184"/>
      <c r="D223" s="184" t="str">
        <f t="shared" si="6"/>
        <v/>
      </c>
      <c r="E223" s="170" t="str">
        <f t="shared" si="7"/>
        <v/>
      </c>
      <c r="F223" s="170"/>
      <c r="G223" s="170"/>
      <c r="H223" s="170"/>
      <c r="I223" s="170"/>
      <c r="J223" s="170"/>
      <c r="K223" s="170"/>
      <c r="L223" s="170"/>
      <c r="M223" s="170"/>
      <c r="N223" s="170"/>
      <c r="O223" s="201"/>
    </row>
    <row r="224" spans="1:15" s="139" customFormat="1" ht="15.75">
      <c r="A224" s="205" t="str">
        <f>IF(ISNA(VLOOKUP(D224,'Standard Smelter Names'!$B$3:$E$153,4,FALSE)),"",VLOOKUP(D224,'Standard Smelter Names'!$B$3:$E$153,4,FALSE))</f>
        <v/>
      </c>
      <c r="B224" s="170"/>
      <c r="C224" s="184"/>
      <c r="D224" s="184" t="str">
        <f t="shared" si="6"/>
        <v/>
      </c>
      <c r="E224" s="170" t="str">
        <f t="shared" si="7"/>
        <v/>
      </c>
      <c r="F224" s="170"/>
      <c r="G224" s="170"/>
      <c r="H224" s="170"/>
      <c r="I224" s="170"/>
      <c r="J224" s="170"/>
      <c r="K224" s="170"/>
      <c r="L224" s="170"/>
      <c r="M224" s="170"/>
      <c r="N224" s="170"/>
      <c r="O224" s="201"/>
    </row>
    <row r="225" spans="1:15" s="139" customFormat="1" ht="15.75">
      <c r="A225" s="205" t="str">
        <f>IF(ISNA(VLOOKUP(D225,'Standard Smelter Names'!$B$3:$E$153,4,FALSE)),"",VLOOKUP(D225,'Standard Smelter Names'!$B$3:$E$153,4,FALSE))</f>
        <v/>
      </c>
      <c r="B225" s="170"/>
      <c r="C225" s="184"/>
      <c r="D225" s="184" t="str">
        <f t="shared" si="6"/>
        <v/>
      </c>
      <c r="E225" s="170" t="str">
        <f t="shared" si="7"/>
        <v/>
      </c>
      <c r="F225" s="170"/>
      <c r="G225" s="170"/>
      <c r="H225" s="170"/>
      <c r="I225" s="170"/>
      <c r="J225" s="170"/>
      <c r="K225" s="170"/>
      <c r="L225" s="170"/>
      <c r="M225" s="170"/>
      <c r="N225" s="170"/>
      <c r="O225" s="201"/>
    </row>
    <row r="226" spans="1:15" s="139" customFormat="1" ht="15.75">
      <c r="A226" s="205" t="str">
        <f>IF(ISNA(VLOOKUP(D226,'Standard Smelter Names'!$B$3:$E$153,4,FALSE)),"",VLOOKUP(D226,'Standard Smelter Names'!$B$3:$E$153,4,FALSE))</f>
        <v/>
      </c>
      <c r="B226" s="170"/>
      <c r="C226" s="184"/>
      <c r="D226" s="184" t="str">
        <f t="shared" si="6"/>
        <v/>
      </c>
      <c r="E226" s="170" t="str">
        <f t="shared" si="7"/>
        <v/>
      </c>
      <c r="F226" s="170"/>
      <c r="G226" s="170"/>
      <c r="H226" s="170"/>
      <c r="I226" s="170"/>
      <c r="J226" s="170"/>
      <c r="K226" s="170"/>
      <c r="L226" s="170"/>
      <c r="M226" s="170"/>
      <c r="N226" s="170"/>
      <c r="O226" s="201"/>
    </row>
    <row r="227" spans="1:15" s="139" customFormat="1" ht="15.75">
      <c r="A227" s="205" t="str">
        <f>IF(ISNA(VLOOKUP(D227,'Standard Smelter Names'!$B$3:$E$153,4,FALSE)),"",VLOOKUP(D227,'Standard Smelter Names'!$B$3:$E$153,4,FALSE))</f>
        <v/>
      </c>
      <c r="B227" s="170"/>
      <c r="C227" s="184"/>
      <c r="D227" s="184" t="str">
        <f t="shared" si="6"/>
        <v/>
      </c>
      <c r="E227" s="170" t="str">
        <f t="shared" si="7"/>
        <v/>
      </c>
      <c r="F227" s="170"/>
      <c r="G227" s="170"/>
      <c r="H227" s="170"/>
      <c r="I227" s="170"/>
      <c r="J227" s="170"/>
      <c r="K227" s="170"/>
      <c r="L227" s="170"/>
      <c r="M227" s="170"/>
      <c r="N227" s="170"/>
      <c r="O227" s="201"/>
    </row>
    <row r="228" spans="1:15" s="139" customFormat="1" ht="15.75">
      <c r="A228" s="205" t="str">
        <f>IF(ISNA(VLOOKUP(D228,'Standard Smelter Names'!$B$3:$E$153,4,FALSE)),"",VLOOKUP(D228,'Standard Smelter Names'!$B$3:$E$153,4,FALSE))</f>
        <v/>
      </c>
      <c r="B228" s="170"/>
      <c r="C228" s="184"/>
      <c r="D228" s="184" t="str">
        <f t="shared" si="6"/>
        <v/>
      </c>
      <c r="E228" s="170" t="str">
        <f t="shared" si="7"/>
        <v/>
      </c>
      <c r="F228" s="170"/>
      <c r="G228" s="170"/>
      <c r="H228" s="170"/>
      <c r="I228" s="170"/>
      <c r="J228" s="170"/>
      <c r="K228" s="170"/>
      <c r="L228" s="170"/>
      <c r="M228" s="170"/>
      <c r="N228" s="170"/>
      <c r="O228" s="201"/>
    </row>
    <row r="229" spans="1:15" s="139" customFormat="1" ht="15.75">
      <c r="A229" s="205" t="str">
        <f>IF(ISNA(VLOOKUP(D229,'Standard Smelter Names'!$B$3:$E$153,4,FALSE)),"",VLOOKUP(D229,'Standard Smelter Names'!$B$3:$E$153,4,FALSE))</f>
        <v/>
      </c>
      <c r="B229" s="170"/>
      <c r="C229" s="184"/>
      <c r="D229" s="184" t="str">
        <f t="shared" si="6"/>
        <v/>
      </c>
      <c r="E229" s="170" t="str">
        <f t="shared" si="7"/>
        <v/>
      </c>
      <c r="F229" s="170"/>
      <c r="G229" s="170"/>
      <c r="H229" s="170"/>
      <c r="I229" s="170"/>
      <c r="J229" s="170"/>
      <c r="K229" s="170"/>
      <c r="L229" s="170"/>
      <c r="M229" s="170"/>
      <c r="N229" s="170"/>
      <c r="O229" s="201"/>
    </row>
    <row r="230" spans="1:15" s="139" customFormat="1" ht="15.75">
      <c r="A230" s="205" t="str">
        <f>IF(ISNA(VLOOKUP(D230,'Standard Smelter Names'!$B$3:$E$153,4,FALSE)),"",VLOOKUP(D230,'Standard Smelter Names'!$B$3:$E$153,4,FALSE))</f>
        <v/>
      </c>
      <c r="B230" s="170"/>
      <c r="C230" s="184"/>
      <c r="D230" s="184" t="str">
        <f t="shared" si="6"/>
        <v/>
      </c>
      <c r="E230" s="170" t="str">
        <f t="shared" si="7"/>
        <v/>
      </c>
      <c r="F230" s="170"/>
      <c r="G230" s="170"/>
      <c r="H230" s="170"/>
      <c r="I230" s="170"/>
      <c r="J230" s="170"/>
      <c r="K230" s="170"/>
      <c r="L230" s="170"/>
      <c r="M230" s="170"/>
      <c r="N230" s="170"/>
      <c r="O230" s="201"/>
    </row>
    <row r="231" spans="1:15" s="139" customFormat="1" ht="15.75">
      <c r="A231" s="205" t="str">
        <f>IF(ISNA(VLOOKUP(D231,'Standard Smelter Names'!$B$3:$E$153,4,FALSE)),"",VLOOKUP(D231,'Standard Smelter Names'!$B$3:$E$153,4,FALSE))</f>
        <v/>
      </c>
      <c r="B231" s="170"/>
      <c r="C231" s="184"/>
      <c r="D231" s="184" t="str">
        <f t="shared" si="6"/>
        <v/>
      </c>
      <c r="E231" s="170" t="str">
        <f t="shared" si="7"/>
        <v/>
      </c>
      <c r="F231" s="170"/>
      <c r="G231" s="170"/>
      <c r="H231" s="170"/>
      <c r="I231" s="170"/>
      <c r="J231" s="170"/>
      <c r="K231" s="170"/>
      <c r="L231" s="170"/>
      <c r="M231" s="170"/>
      <c r="N231" s="170"/>
      <c r="O231" s="201"/>
    </row>
    <row r="232" spans="1:15" s="139" customFormat="1" ht="15.75">
      <c r="A232" s="205" t="str">
        <f>IF(ISNA(VLOOKUP(D232,'Standard Smelter Names'!$B$3:$E$153,4,FALSE)),"",VLOOKUP(D232,'Standard Smelter Names'!$B$3:$E$153,4,FALSE))</f>
        <v/>
      </c>
      <c r="B232" s="170"/>
      <c r="C232" s="184"/>
      <c r="D232" s="184" t="str">
        <f t="shared" si="6"/>
        <v/>
      </c>
      <c r="E232" s="170" t="str">
        <f t="shared" si="7"/>
        <v/>
      </c>
      <c r="F232" s="170"/>
      <c r="G232" s="170"/>
      <c r="H232" s="170"/>
      <c r="I232" s="170"/>
      <c r="J232" s="170"/>
      <c r="K232" s="170"/>
      <c r="L232" s="170"/>
      <c r="M232" s="170"/>
      <c r="N232" s="170"/>
      <c r="O232" s="201"/>
    </row>
    <row r="233" spans="1:15" s="139" customFormat="1" ht="15.75">
      <c r="A233" s="205" t="str">
        <f>IF(ISNA(VLOOKUP(D233,'Standard Smelter Names'!$B$3:$E$153,4,FALSE)),"",VLOOKUP(D233,'Standard Smelter Names'!$B$3:$E$153,4,FALSE))</f>
        <v/>
      </c>
      <c r="B233" s="170"/>
      <c r="C233" s="184"/>
      <c r="D233" s="184" t="str">
        <f t="shared" si="6"/>
        <v/>
      </c>
      <c r="E233" s="170" t="str">
        <f t="shared" si="7"/>
        <v/>
      </c>
      <c r="F233" s="170"/>
      <c r="G233" s="170"/>
      <c r="H233" s="170"/>
      <c r="I233" s="170"/>
      <c r="J233" s="170"/>
      <c r="K233" s="170"/>
      <c r="L233" s="170"/>
      <c r="M233" s="170"/>
      <c r="N233" s="170"/>
      <c r="O233" s="201"/>
    </row>
    <row r="234" spans="1:15" s="139" customFormat="1" ht="15.75">
      <c r="A234" s="205" t="str">
        <f>IF(ISNA(VLOOKUP(D234,'Standard Smelter Names'!$B$3:$E$153,4,FALSE)),"",VLOOKUP(D234,'Standard Smelter Names'!$B$3:$E$153,4,FALSE))</f>
        <v/>
      </c>
      <c r="B234" s="170"/>
      <c r="C234" s="184"/>
      <c r="D234" s="184" t="str">
        <f t="shared" si="6"/>
        <v/>
      </c>
      <c r="E234" s="170" t="str">
        <f t="shared" si="7"/>
        <v/>
      </c>
      <c r="F234" s="170"/>
      <c r="G234" s="170"/>
      <c r="H234" s="170"/>
      <c r="I234" s="170"/>
      <c r="J234" s="170"/>
      <c r="K234" s="170"/>
      <c r="L234" s="170"/>
      <c r="M234" s="170"/>
      <c r="N234" s="170"/>
      <c r="O234" s="201"/>
    </row>
    <row r="235" spans="1:15" s="139" customFormat="1" ht="15.75">
      <c r="A235" s="205" t="str">
        <f>IF(ISNA(VLOOKUP(D235,'Standard Smelter Names'!$B$3:$E$153,4,FALSE)),"",VLOOKUP(D235,'Standard Smelter Names'!$B$3:$E$153,4,FALSE))</f>
        <v/>
      </c>
      <c r="B235" s="170"/>
      <c r="C235" s="184"/>
      <c r="D235" s="184" t="str">
        <f t="shared" si="6"/>
        <v/>
      </c>
      <c r="E235" s="170" t="str">
        <f t="shared" si="7"/>
        <v/>
      </c>
      <c r="F235" s="170"/>
      <c r="G235" s="170"/>
      <c r="H235" s="170"/>
      <c r="I235" s="170"/>
      <c r="J235" s="170"/>
      <c r="K235" s="170"/>
      <c r="L235" s="170"/>
      <c r="M235" s="170"/>
      <c r="N235" s="170"/>
      <c r="O235" s="201"/>
    </row>
    <row r="236" spans="1:15" s="139" customFormat="1" ht="15.75">
      <c r="A236" s="205" t="str">
        <f>IF(ISNA(VLOOKUP(D236,'Standard Smelter Names'!$B$3:$E$153,4,FALSE)),"",VLOOKUP(D236,'Standard Smelter Names'!$B$3:$E$153,4,FALSE))</f>
        <v/>
      </c>
      <c r="B236" s="170"/>
      <c r="C236" s="184"/>
      <c r="D236" s="184" t="str">
        <f t="shared" si="6"/>
        <v/>
      </c>
      <c r="E236" s="170" t="str">
        <f t="shared" si="7"/>
        <v/>
      </c>
      <c r="F236" s="170"/>
      <c r="G236" s="170"/>
      <c r="H236" s="170"/>
      <c r="I236" s="170"/>
      <c r="J236" s="170"/>
      <c r="K236" s="170"/>
      <c r="L236" s="170"/>
      <c r="M236" s="170"/>
      <c r="N236" s="170"/>
      <c r="O236" s="201"/>
    </row>
    <row r="237" spans="1:15" s="139" customFormat="1" ht="15.75">
      <c r="A237" s="205" t="str">
        <f>IF(ISNA(VLOOKUP(D237,'Standard Smelter Names'!$B$3:$E$153,4,FALSE)),"",VLOOKUP(D237,'Standard Smelter Names'!$B$3:$E$153,4,FALSE))</f>
        <v/>
      </c>
      <c r="B237" s="170"/>
      <c r="C237" s="184"/>
      <c r="D237" s="184" t="str">
        <f t="shared" si="6"/>
        <v/>
      </c>
      <c r="E237" s="170" t="str">
        <f t="shared" si="7"/>
        <v/>
      </c>
      <c r="F237" s="170"/>
      <c r="G237" s="170"/>
      <c r="H237" s="170"/>
      <c r="I237" s="170"/>
      <c r="J237" s="170"/>
      <c r="K237" s="170"/>
      <c r="L237" s="170"/>
      <c r="M237" s="170"/>
      <c r="N237" s="170"/>
      <c r="O237" s="201"/>
    </row>
    <row r="238" spans="1:15" s="139" customFormat="1" ht="15.75">
      <c r="A238" s="205" t="str">
        <f>IF(ISNA(VLOOKUP(D238,'Standard Smelter Names'!$B$3:$E$153,4,FALSE)),"",VLOOKUP(D238,'Standard Smelter Names'!$B$3:$E$153,4,FALSE))</f>
        <v/>
      </c>
      <c r="B238" s="170"/>
      <c r="C238" s="184"/>
      <c r="D238" s="184" t="str">
        <f t="shared" si="6"/>
        <v/>
      </c>
      <c r="E238" s="170" t="str">
        <f t="shared" si="7"/>
        <v/>
      </c>
      <c r="F238" s="170"/>
      <c r="G238" s="170"/>
      <c r="H238" s="170"/>
      <c r="I238" s="170"/>
      <c r="J238" s="170"/>
      <c r="K238" s="170"/>
      <c r="L238" s="170"/>
      <c r="M238" s="170"/>
      <c r="N238" s="170"/>
      <c r="O238" s="201"/>
    </row>
    <row r="239" spans="1:15" s="139" customFormat="1" ht="15.75">
      <c r="A239" s="205" t="str">
        <f>IF(ISNA(VLOOKUP(D239,'Standard Smelter Names'!$B$3:$E$153,4,FALSE)),"",VLOOKUP(D239,'Standard Smelter Names'!$B$3:$E$153,4,FALSE))</f>
        <v/>
      </c>
      <c r="B239" s="170"/>
      <c r="C239" s="184"/>
      <c r="D239" s="184" t="str">
        <f t="shared" si="6"/>
        <v/>
      </c>
      <c r="E239" s="170" t="str">
        <f t="shared" si="7"/>
        <v/>
      </c>
      <c r="F239" s="170"/>
      <c r="G239" s="170"/>
      <c r="H239" s="170"/>
      <c r="I239" s="170"/>
      <c r="J239" s="170"/>
      <c r="K239" s="170"/>
      <c r="L239" s="170"/>
      <c r="M239" s="170"/>
      <c r="N239" s="170"/>
      <c r="O239" s="201"/>
    </row>
    <row r="240" spans="1:15" s="139" customFormat="1" ht="15.75">
      <c r="A240" s="205" t="str">
        <f>IF(ISNA(VLOOKUP(D240,'Standard Smelter Names'!$B$3:$E$153,4,FALSE)),"",VLOOKUP(D240,'Standard Smelter Names'!$B$3:$E$153,4,FALSE))</f>
        <v/>
      </c>
      <c r="B240" s="170"/>
      <c r="C240" s="184"/>
      <c r="D240" s="184" t="str">
        <f t="shared" si="6"/>
        <v/>
      </c>
      <c r="E240" s="170" t="str">
        <f t="shared" si="7"/>
        <v/>
      </c>
      <c r="F240" s="170"/>
      <c r="G240" s="170"/>
      <c r="H240" s="170"/>
      <c r="I240" s="170"/>
      <c r="J240" s="170"/>
      <c r="K240" s="170"/>
      <c r="L240" s="170"/>
      <c r="M240" s="170"/>
      <c r="N240" s="170"/>
      <c r="O240" s="201"/>
    </row>
    <row r="241" spans="1:15" s="139" customFormat="1" ht="15.75">
      <c r="A241" s="205" t="str">
        <f>IF(ISNA(VLOOKUP(D241,'Standard Smelter Names'!$B$3:$E$153,4,FALSE)),"",VLOOKUP(D241,'Standard Smelter Names'!$B$3:$E$153,4,FALSE))</f>
        <v/>
      </c>
      <c r="B241" s="170"/>
      <c r="C241" s="184"/>
      <c r="D241" s="184" t="str">
        <f t="shared" si="6"/>
        <v/>
      </c>
      <c r="E241" s="170" t="str">
        <f t="shared" si="7"/>
        <v/>
      </c>
      <c r="F241" s="170"/>
      <c r="G241" s="170"/>
      <c r="H241" s="170"/>
      <c r="I241" s="170"/>
      <c r="J241" s="170"/>
      <c r="K241" s="170"/>
      <c r="L241" s="170"/>
      <c r="M241" s="170"/>
      <c r="N241" s="170"/>
      <c r="O241" s="201"/>
    </row>
    <row r="242" spans="1:15" s="139" customFormat="1" ht="15.75">
      <c r="A242" s="205" t="str">
        <f>IF(ISNA(VLOOKUP(D242,'Standard Smelter Names'!$B$3:$E$153,4,FALSE)),"",VLOOKUP(D242,'Standard Smelter Names'!$B$3:$E$153,4,FALSE))</f>
        <v/>
      </c>
      <c r="B242" s="170"/>
      <c r="C242" s="184"/>
      <c r="D242" s="184" t="str">
        <f t="shared" si="6"/>
        <v/>
      </c>
      <c r="E242" s="170" t="str">
        <f t="shared" si="7"/>
        <v/>
      </c>
      <c r="F242" s="170"/>
      <c r="G242" s="170"/>
      <c r="H242" s="170"/>
      <c r="I242" s="170"/>
      <c r="J242" s="170"/>
      <c r="K242" s="170"/>
      <c r="L242" s="170"/>
      <c r="M242" s="170"/>
      <c r="N242" s="170"/>
      <c r="O242" s="201"/>
    </row>
    <row r="243" spans="1:15" s="139" customFormat="1" ht="15.75">
      <c r="A243" s="205" t="str">
        <f>IF(ISNA(VLOOKUP(D243,'Standard Smelter Names'!$B$3:$E$153,4,FALSE)),"",VLOOKUP(D243,'Standard Smelter Names'!$B$3:$E$153,4,FALSE))</f>
        <v/>
      </c>
      <c r="B243" s="170"/>
      <c r="C243" s="184"/>
      <c r="D243" s="184" t="str">
        <f t="shared" si="6"/>
        <v/>
      </c>
      <c r="E243" s="170" t="str">
        <f t="shared" si="7"/>
        <v/>
      </c>
      <c r="F243" s="170"/>
      <c r="G243" s="170"/>
      <c r="H243" s="170"/>
      <c r="I243" s="170"/>
      <c r="J243" s="170"/>
      <c r="K243" s="170"/>
      <c r="L243" s="170"/>
      <c r="M243" s="170"/>
      <c r="N243" s="170"/>
      <c r="O243" s="201"/>
    </row>
    <row r="244" spans="1:15" s="139" customFormat="1" ht="15.75">
      <c r="A244" s="205" t="str">
        <f>IF(ISNA(VLOOKUP(D244,'Standard Smelter Names'!$B$3:$E$153,4,FALSE)),"",VLOOKUP(D244,'Standard Smelter Names'!$B$3:$E$153,4,FALSE))</f>
        <v/>
      </c>
      <c r="B244" s="170"/>
      <c r="C244" s="184"/>
      <c r="D244" s="184" t="str">
        <f t="shared" si="6"/>
        <v/>
      </c>
      <c r="E244" s="170" t="str">
        <f t="shared" si="7"/>
        <v/>
      </c>
      <c r="F244" s="170"/>
      <c r="G244" s="170"/>
      <c r="H244" s="170"/>
      <c r="I244" s="170"/>
      <c r="J244" s="170"/>
      <c r="K244" s="170"/>
      <c r="L244" s="170"/>
      <c r="M244" s="170"/>
      <c r="N244" s="170"/>
      <c r="O244" s="201"/>
    </row>
    <row r="245" spans="1:15" s="139" customFormat="1" ht="15.75">
      <c r="A245" s="205" t="str">
        <f>IF(ISNA(VLOOKUP(D245,'Standard Smelter Names'!$B$3:$E$153,4,FALSE)),"",VLOOKUP(D245,'Standard Smelter Names'!$B$3:$E$153,4,FALSE))</f>
        <v/>
      </c>
      <c r="B245" s="170"/>
      <c r="C245" s="184"/>
      <c r="D245" s="184" t="str">
        <f t="shared" si="6"/>
        <v/>
      </c>
      <c r="E245" s="170" t="str">
        <f t="shared" si="7"/>
        <v/>
      </c>
      <c r="F245" s="170"/>
      <c r="G245" s="170"/>
      <c r="H245" s="170"/>
      <c r="I245" s="170"/>
      <c r="J245" s="170"/>
      <c r="K245" s="170"/>
      <c r="L245" s="170"/>
      <c r="M245" s="170"/>
      <c r="N245" s="170"/>
      <c r="O245" s="201"/>
    </row>
    <row r="246" spans="1:15" s="139" customFormat="1" ht="15.75">
      <c r="A246" s="205" t="str">
        <f>IF(ISNA(VLOOKUP(D246,'Standard Smelter Names'!$B$3:$E$153,4,FALSE)),"",VLOOKUP(D246,'Standard Smelter Names'!$B$3:$E$153,4,FALSE))</f>
        <v/>
      </c>
      <c r="B246" s="170"/>
      <c r="C246" s="184"/>
      <c r="D246" s="184" t="str">
        <f t="shared" si="6"/>
        <v/>
      </c>
      <c r="E246" s="170" t="str">
        <f t="shared" si="7"/>
        <v/>
      </c>
      <c r="F246" s="170"/>
      <c r="G246" s="170"/>
      <c r="H246" s="170"/>
      <c r="I246" s="170"/>
      <c r="J246" s="170"/>
      <c r="K246" s="170"/>
      <c r="L246" s="170"/>
      <c r="M246" s="170"/>
      <c r="N246" s="170"/>
      <c r="O246" s="201"/>
    </row>
    <row r="247" spans="1:15" s="139" customFormat="1" ht="15.75">
      <c r="A247" s="205" t="str">
        <f>IF(ISNA(VLOOKUP(D247,'Standard Smelter Names'!$B$3:$E$153,4,FALSE)),"",VLOOKUP(D247,'Standard Smelter Names'!$B$3:$E$153,4,FALSE))</f>
        <v/>
      </c>
      <c r="B247" s="170"/>
      <c r="C247" s="184"/>
      <c r="D247" s="184" t="str">
        <f t="shared" si="6"/>
        <v/>
      </c>
      <c r="E247" s="170" t="str">
        <f t="shared" si="7"/>
        <v/>
      </c>
      <c r="F247" s="170"/>
      <c r="G247" s="170"/>
      <c r="H247" s="170"/>
      <c r="I247" s="170"/>
      <c r="J247" s="170"/>
      <c r="K247" s="170"/>
      <c r="L247" s="170"/>
      <c r="M247" s="170"/>
      <c r="N247" s="170"/>
      <c r="O247" s="201"/>
    </row>
    <row r="248" spans="1:15" s="139" customFormat="1" ht="15.75">
      <c r="A248" s="205" t="str">
        <f>IF(ISNA(VLOOKUP(D248,'Standard Smelter Names'!$B$3:$E$153,4,FALSE)),"",VLOOKUP(D248,'Standard Smelter Names'!$B$3:$E$153,4,FALSE))</f>
        <v/>
      </c>
      <c r="B248" s="170"/>
      <c r="C248" s="184"/>
      <c r="D248" s="184" t="str">
        <f t="shared" si="6"/>
        <v/>
      </c>
      <c r="E248" s="170" t="str">
        <f t="shared" si="7"/>
        <v/>
      </c>
      <c r="F248" s="170"/>
      <c r="G248" s="170"/>
      <c r="H248" s="170"/>
      <c r="I248" s="170"/>
      <c r="J248" s="170"/>
      <c r="K248" s="170"/>
      <c r="L248" s="170"/>
      <c r="M248" s="170"/>
      <c r="N248" s="170"/>
      <c r="O248" s="201"/>
    </row>
    <row r="249" spans="1:15" s="139" customFormat="1" ht="15.75">
      <c r="A249" s="205" t="str">
        <f>IF(ISNA(VLOOKUP(D249,'Standard Smelter Names'!$B$3:$E$153,4,FALSE)),"",VLOOKUP(D249,'Standard Smelter Names'!$B$3:$E$153,4,FALSE))</f>
        <v/>
      </c>
      <c r="B249" s="170"/>
      <c r="C249" s="184"/>
      <c r="D249" s="184" t="str">
        <f t="shared" si="6"/>
        <v/>
      </c>
      <c r="E249" s="170" t="str">
        <f t="shared" si="7"/>
        <v/>
      </c>
      <c r="F249" s="170"/>
      <c r="G249" s="170"/>
      <c r="H249" s="170"/>
      <c r="I249" s="170"/>
      <c r="J249" s="170"/>
      <c r="K249" s="170"/>
      <c r="L249" s="170"/>
      <c r="M249" s="170"/>
      <c r="N249" s="170"/>
      <c r="O249" s="201"/>
    </row>
    <row r="250" spans="1:15" s="139" customFormat="1" ht="15.75">
      <c r="A250" s="205" t="str">
        <f>IF(ISNA(VLOOKUP(D250,'Standard Smelter Names'!$B$3:$E$153,4,FALSE)),"",VLOOKUP(D250,'Standard Smelter Names'!$B$3:$E$153,4,FALSE))</f>
        <v/>
      </c>
      <c r="B250" s="170"/>
      <c r="C250" s="184"/>
      <c r="D250" s="184" t="str">
        <f t="shared" si="6"/>
        <v/>
      </c>
      <c r="E250" s="170" t="str">
        <f t="shared" si="7"/>
        <v/>
      </c>
      <c r="F250" s="170"/>
      <c r="G250" s="170"/>
      <c r="H250" s="170"/>
      <c r="I250" s="170"/>
      <c r="J250" s="170"/>
      <c r="K250" s="170"/>
      <c r="L250" s="170"/>
      <c r="M250" s="170"/>
      <c r="N250" s="170"/>
      <c r="O250" s="201"/>
    </row>
    <row r="251" spans="1:15" s="139" customFormat="1" ht="15.75">
      <c r="A251" s="205" t="str">
        <f>IF(ISNA(VLOOKUP(D251,'Standard Smelter Names'!$B$3:$E$153,4,FALSE)),"",VLOOKUP(D251,'Standard Smelter Names'!$B$3:$E$153,4,FALSE))</f>
        <v/>
      </c>
      <c r="B251" s="170"/>
      <c r="C251" s="184"/>
      <c r="D251" s="184" t="str">
        <f t="shared" si="6"/>
        <v/>
      </c>
      <c r="E251" s="170" t="str">
        <f t="shared" si="7"/>
        <v/>
      </c>
      <c r="F251" s="170"/>
      <c r="G251" s="170"/>
      <c r="H251" s="170"/>
      <c r="I251" s="170"/>
      <c r="J251" s="170"/>
      <c r="K251" s="170"/>
      <c r="L251" s="170"/>
      <c r="M251" s="170"/>
      <c r="N251" s="170"/>
      <c r="O251" s="201"/>
    </row>
    <row r="252" spans="1:15" s="139" customFormat="1" ht="15.75">
      <c r="A252" s="205" t="str">
        <f>IF(ISNA(VLOOKUP(D252,'Standard Smelter Names'!$B$3:$E$153,4,FALSE)),"",VLOOKUP(D252,'Standard Smelter Names'!$B$3:$E$153,4,FALSE))</f>
        <v/>
      </c>
      <c r="B252" s="170"/>
      <c r="C252" s="184"/>
      <c r="D252" s="184" t="str">
        <f t="shared" si="6"/>
        <v/>
      </c>
      <c r="E252" s="170" t="str">
        <f t="shared" si="7"/>
        <v/>
      </c>
      <c r="F252" s="170"/>
      <c r="G252" s="170"/>
      <c r="H252" s="170"/>
      <c r="I252" s="170"/>
      <c r="J252" s="170"/>
      <c r="K252" s="170"/>
      <c r="L252" s="170"/>
      <c r="M252" s="170"/>
      <c r="N252" s="170"/>
      <c r="O252" s="201"/>
    </row>
    <row r="253" spans="1:15" s="139" customFormat="1" ht="15.75">
      <c r="A253" s="205" t="str">
        <f>IF(ISNA(VLOOKUP(D253,'Standard Smelter Names'!$B$3:$E$153,4,FALSE)),"",VLOOKUP(D253,'Standard Smelter Names'!$B$3:$E$153,4,FALSE))</f>
        <v/>
      </c>
      <c r="B253" s="170"/>
      <c r="C253" s="184"/>
      <c r="D253" s="184" t="str">
        <f t="shared" si="6"/>
        <v/>
      </c>
      <c r="E253" s="170" t="str">
        <f t="shared" si="7"/>
        <v/>
      </c>
      <c r="F253" s="170"/>
      <c r="G253" s="170"/>
      <c r="H253" s="170"/>
      <c r="I253" s="170"/>
      <c r="J253" s="170"/>
      <c r="K253" s="170"/>
      <c r="L253" s="170"/>
      <c r="M253" s="170"/>
      <c r="N253" s="170"/>
      <c r="O253" s="201"/>
    </row>
    <row r="254" spans="1:15" s="139" customFormat="1" ht="15.75">
      <c r="A254" s="205" t="str">
        <f>IF(ISNA(VLOOKUP(D254,'Standard Smelter Names'!$B$3:$E$153,4,FALSE)),"",VLOOKUP(D254,'Standard Smelter Names'!$B$3:$E$153,4,FALSE))</f>
        <v/>
      </c>
      <c r="B254" s="170"/>
      <c r="C254" s="184"/>
      <c r="D254" s="184" t="str">
        <f t="shared" si="6"/>
        <v/>
      </c>
      <c r="E254" s="170" t="str">
        <f t="shared" si="7"/>
        <v/>
      </c>
      <c r="F254" s="170"/>
      <c r="G254" s="170"/>
      <c r="H254" s="170"/>
      <c r="I254" s="170"/>
      <c r="J254" s="170"/>
      <c r="K254" s="170"/>
      <c r="L254" s="170"/>
      <c r="M254" s="170"/>
      <c r="N254" s="170"/>
      <c r="O254" s="201"/>
    </row>
    <row r="255" spans="1:15" s="139" customFormat="1" ht="15.75">
      <c r="A255" s="205" t="str">
        <f>IF(ISNA(VLOOKUP(D255,'Standard Smelter Names'!$B$3:$E$153,4,FALSE)),"",VLOOKUP(D255,'Standard Smelter Names'!$B$3:$E$153,4,FALSE))</f>
        <v/>
      </c>
      <c r="B255" s="170"/>
      <c r="C255" s="184"/>
      <c r="D255" s="184" t="str">
        <f t="shared" si="6"/>
        <v/>
      </c>
      <c r="E255" s="170" t="str">
        <f t="shared" si="7"/>
        <v/>
      </c>
      <c r="F255" s="170"/>
      <c r="G255" s="170"/>
      <c r="H255" s="170"/>
      <c r="I255" s="170"/>
      <c r="J255" s="170"/>
      <c r="K255" s="170"/>
      <c r="L255" s="170"/>
      <c r="M255" s="170"/>
      <c r="N255" s="170"/>
      <c r="O255" s="201"/>
    </row>
    <row r="256" spans="1:15" s="139" customFormat="1" ht="15.75">
      <c r="A256" s="205" t="str">
        <f>IF(ISNA(VLOOKUP(D256,'Standard Smelter Names'!$B$3:$E$153,4,FALSE)),"",VLOOKUP(D256,'Standard Smelter Names'!$B$3:$E$153,4,FALSE))</f>
        <v/>
      </c>
      <c r="B256" s="170"/>
      <c r="C256" s="184"/>
      <c r="D256" s="184" t="str">
        <f t="shared" si="6"/>
        <v/>
      </c>
      <c r="E256" s="170" t="str">
        <f t="shared" si="7"/>
        <v/>
      </c>
      <c r="F256" s="170"/>
      <c r="G256" s="170"/>
      <c r="H256" s="170"/>
      <c r="I256" s="170"/>
      <c r="J256" s="170"/>
      <c r="K256" s="170"/>
      <c r="L256" s="170"/>
      <c r="M256" s="170"/>
      <c r="N256" s="170"/>
      <c r="O256" s="201"/>
    </row>
    <row r="257" spans="1:15" s="139" customFormat="1" ht="15.75">
      <c r="A257" s="205" t="str">
        <f>IF(ISNA(VLOOKUP(D257,'Standard Smelter Names'!$B$3:$E$153,4,FALSE)),"",VLOOKUP(D257,'Standard Smelter Names'!$B$3:$E$153,4,FALSE))</f>
        <v/>
      </c>
      <c r="B257" s="170"/>
      <c r="C257" s="184"/>
      <c r="D257" s="184" t="str">
        <f t="shared" si="6"/>
        <v/>
      </c>
      <c r="E257" s="170" t="str">
        <f t="shared" si="7"/>
        <v/>
      </c>
      <c r="F257" s="170"/>
      <c r="G257" s="170"/>
      <c r="H257" s="170"/>
      <c r="I257" s="170"/>
      <c r="J257" s="170"/>
      <c r="K257" s="170"/>
      <c r="L257" s="170"/>
      <c r="M257" s="170"/>
      <c r="N257" s="170"/>
      <c r="O257" s="201"/>
    </row>
    <row r="258" spans="1:15" s="139" customFormat="1" ht="15.75">
      <c r="A258" s="205" t="str">
        <f>IF(ISNA(VLOOKUP(D258,'Standard Smelter Names'!$B$3:$E$153,4,FALSE)),"",VLOOKUP(D258,'Standard Smelter Names'!$B$3:$E$153,4,FALSE))</f>
        <v/>
      </c>
      <c r="B258" s="170"/>
      <c r="C258" s="184"/>
      <c r="D258" s="184" t="str">
        <f t="shared" si="6"/>
        <v/>
      </c>
      <c r="E258" s="170" t="str">
        <f t="shared" si="7"/>
        <v/>
      </c>
      <c r="F258" s="170"/>
      <c r="G258" s="170"/>
      <c r="H258" s="170"/>
      <c r="I258" s="170"/>
      <c r="J258" s="170"/>
      <c r="K258" s="170"/>
      <c r="L258" s="170"/>
      <c r="M258" s="170"/>
      <c r="N258" s="170"/>
      <c r="O258" s="201"/>
    </row>
    <row r="259" spans="1:15" s="139" customFormat="1" ht="15.75">
      <c r="A259" s="205" t="str">
        <f>IF(ISNA(VLOOKUP(D259,'Standard Smelter Names'!$B$3:$E$153,4,FALSE)),"",VLOOKUP(D259,'Standard Smelter Names'!$B$3:$E$153,4,FALSE))</f>
        <v/>
      </c>
      <c r="B259" s="170"/>
      <c r="C259" s="184"/>
      <c r="D259" s="184" t="str">
        <f t="shared" si="6"/>
        <v/>
      </c>
      <c r="E259" s="170" t="str">
        <f t="shared" si="7"/>
        <v/>
      </c>
      <c r="F259" s="170"/>
      <c r="G259" s="170"/>
      <c r="H259" s="170"/>
      <c r="I259" s="170"/>
      <c r="J259" s="170"/>
      <c r="K259" s="170"/>
      <c r="L259" s="170"/>
      <c r="M259" s="170"/>
      <c r="N259" s="170"/>
      <c r="O259" s="201"/>
    </row>
    <row r="260" spans="1:15" s="139" customFormat="1" ht="15.75">
      <c r="A260" s="205" t="str">
        <f>IF(ISNA(VLOOKUP(D260,'Standard Smelter Names'!$B$3:$E$153,4,FALSE)),"",VLOOKUP(D260,'Standard Smelter Names'!$B$3:$E$153,4,FALSE))</f>
        <v/>
      </c>
      <c r="B260" s="170"/>
      <c r="C260" s="184"/>
      <c r="D260" s="184" t="str">
        <f t="shared" si="6"/>
        <v/>
      </c>
      <c r="E260" s="170" t="str">
        <f t="shared" si="7"/>
        <v/>
      </c>
      <c r="F260" s="170"/>
      <c r="G260" s="170"/>
      <c r="H260" s="170"/>
      <c r="I260" s="170"/>
      <c r="J260" s="170"/>
      <c r="K260" s="170"/>
      <c r="L260" s="170"/>
      <c r="M260" s="170"/>
      <c r="N260" s="170"/>
      <c r="O260" s="201"/>
    </row>
    <row r="261" spans="1:15" s="139" customFormat="1" ht="15.75">
      <c r="A261" s="205" t="str">
        <f>IF(ISNA(VLOOKUP(D261,'Standard Smelter Names'!$B$3:$E$153,4,FALSE)),"",VLOOKUP(D261,'Standard Smelter Names'!$B$3:$E$153,4,FALSE))</f>
        <v/>
      </c>
      <c r="B261" s="170"/>
      <c r="C261" s="184"/>
      <c r="D261" s="184" t="str">
        <f t="shared" ref="D261:D324" si="8">IF(ISNA(VLOOKUP(C261,$G$1023:$I$1309,3,FALSE)),"",VLOOKUP(C261,$G$1023:$I$1309,3,FALSE))</f>
        <v/>
      </c>
      <c r="E261" s="170" t="str">
        <f t="shared" ref="E261:E324" si="9">IF(ISNA(VLOOKUP(C261,$G$1023:$I$1309,2,FALSE)),"",VLOOKUP(C261,$G$1023:$I$1309,2,FALSE))</f>
        <v/>
      </c>
      <c r="F261" s="170"/>
      <c r="G261" s="170"/>
      <c r="H261" s="170"/>
      <c r="I261" s="170"/>
      <c r="J261" s="170"/>
      <c r="K261" s="170"/>
      <c r="L261" s="170"/>
      <c r="M261" s="170"/>
      <c r="N261" s="170"/>
      <c r="O261" s="201"/>
    </row>
    <row r="262" spans="1:15" s="139" customFormat="1" ht="15.75">
      <c r="A262" s="205" t="str">
        <f>IF(ISNA(VLOOKUP(D262,'Standard Smelter Names'!$B$3:$E$153,4,FALSE)),"",VLOOKUP(D262,'Standard Smelter Names'!$B$3:$E$153,4,FALSE))</f>
        <v/>
      </c>
      <c r="B262" s="170"/>
      <c r="C262" s="184"/>
      <c r="D262" s="184" t="str">
        <f t="shared" si="8"/>
        <v/>
      </c>
      <c r="E262" s="170" t="str">
        <f t="shared" si="9"/>
        <v/>
      </c>
      <c r="F262" s="170"/>
      <c r="G262" s="170"/>
      <c r="H262" s="170"/>
      <c r="I262" s="170"/>
      <c r="J262" s="170"/>
      <c r="K262" s="170"/>
      <c r="L262" s="170"/>
      <c r="M262" s="170"/>
      <c r="N262" s="170"/>
      <c r="O262" s="201"/>
    </row>
    <row r="263" spans="1:15" s="139" customFormat="1" ht="15.75">
      <c r="A263" s="205" t="str">
        <f>IF(ISNA(VLOOKUP(D263,'Standard Smelter Names'!$B$3:$E$153,4,FALSE)),"",VLOOKUP(D263,'Standard Smelter Names'!$B$3:$E$153,4,FALSE))</f>
        <v/>
      </c>
      <c r="B263" s="170"/>
      <c r="C263" s="184"/>
      <c r="D263" s="184" t="str">
        <f t="shared" si="8"/>
        <v/>
      </c>
      <c r="E263" s="170" t="str">
        <f t="shared" si="9"/>
        <v/>
      </c>
      <c r="F263" s="170"/>
      <c r="G263" s="170"/>
      <c r="H263" s="170"/>
      <c r="I263" s="170"/>
      <c r="J263" s="170"/>
      <c r="K263" s="170"/>
      <c r="L263" s="170"/>
      <c r="M263" s="170"/>
      <c r="N263" s="170"/>
      <c r="O263" s="201"/>
    </row>
    <row r="264" spans="1:15" s="139" customFormat="1" ht="15.75">
      <c r="A264" s="205" t="str">
        <f>IF(ISNA(VLOOKUP(D264,'Standard Smelter Names'!$B$3:$E$153,4,FALSE)),"",VLOOKUP(D264,'Standard Smelter Names'!$B$3:$E$153,4,FALSE))</f>
        <v/>
      </c>
      <c r="B264" s="170"/>
      <c r="C264" s="184"/>
      <c r="D264" s="184" t="str">
        <f t="shared" si="8"/>
        <v/>
      </c>
      <c r="E264" s="170" t="str">
        <f t="shared" si="9"/>
        <v/>
      </c>
      <c r="F264" s="170"/>
      <c r="G264" s="170"/>
      <c r="H264" s="170"/>
      <c r="I264" s="170"/>
      <c r="J264" s="170"/>
      <c r="K264" s="170"/>
      <c r="L264" s="170"/>
      <c r="M264" s="170"/>
      <c r="N264" s="170"/>
      <c r="O264" s="201"/>
    </row>
    <row r="265" spans="1:15" s="139" customFormat="1" ht="15.75">
      <c r="A265" s="205" t="str">
        <f>IF(ISNA(VLOOKUP(D265,'Standard Smelter Names'!$B$3:$E$153,4,FALSE)),"",VLOOKUP(D265,'Standard Smelter Names'!$B$3:$E$153,4,FALSE))</f>
        <v/>
      </c>
      <c r="B265" s="170"/>
      <c r="C265" s="184"/>
      <c r="D265" s="184" t="str">
        <f t="shared" si="8"/>
        <v/>
      </c>
      <c r="E265" s="170" t="str">
        <f t="shared" si="9"/>
        <v/>
      </c>
      <c r="F265" s="170"/>
      <c r="G265" s="170"/>
      <c r="H265" s="170"/>
      <c r="I265" s="170"/>
      <c r="J265" s="170"/>
      <c r="K265" s="170"/>
      <c r="L265" s="170"/>
      <c r="M265" s="170"/>
      <c r="N265" s="170"/>
      <c r="O265" s="201"/>
    </row>
    <row r="266" spans="1:15" s="139" customFormat="1" ht="15.75">
      <c r="A266" s="205" t="str">
        <f>IF(ISNA(VLOOKUP(D266,'Standard Smelter Names'!$B$3:$E$153,4,FALSE)),"",VLOOKUP(D266,'Standard Smelter Names'!$B$3:$E$153,4,FALSE))</f>
        <v/>
      </c>
      <c r="B266" s="170"/>
      <c r="C266" s="184"/>
      <c r="D266" s="184" t="str">
        <f t="shared" si="8"/>
        <v/>
      </c>
      <c r="E266" s="170" t="str">
        <f t="shared" si="9"/>
        <v/>
      </c>
      <c r="F266" s="170"/>
      <c r="G266" s="170"/>
      <c r="H266" s="170"/>
      <c r="I266" s="170"/>
      <c r="J266" s="170"/>
      <c r="K266" s="170"/>
      <c r="L266" s="170"/>
      <c r="M266" s="170"/>
      <c r="N266" s="170"/>
      <c r="O266" s="201"/>
    </row>
    <row r="267" spans="1:15" s="139" customFormat="1" ht="15.75">
      <c r="A267" s="205" t="str">
        <f>IF(ISNA(VLOOKUP(D267,'Standard Smelter Names'!$B$3:$E$153,4,FALSE)),"",VLOOKUP(D267,'Standard Smelter Names'!$B$3:$E$153,4,FALSE))</f>
        <v/>
      </c>
      <c r="B267" s="170"/>
      <c r="C267" s="184"/>
      <c r="D267" s="184" t="str">
        <f t="shared" si="8"/>
        <v/>
      </c>
      <c r="E267" s="170" t="str">
        <f t="shared" si="9"/>
        <v/>
      </c>
      <c r="F267" s="170"/>
      <c r="G267" s="170"/>
      <c r="H267" s="170"/>
      <c r="I267" s="170"/>
      <c r="J267" s="170"/>
      <c r="K267" s="170"/>
      <c r="L267" s="170"/>
      <c r="M267" s="170"/>
      <c r="N267" s="170"/>
      <c r="O267" s="201"/>
    </row>
    <row r="268" spans="1:15" s="139" customFormat="1" ht="15.75">
      <c r="A268" s="205" t="str">
        <f>IF(ISNA(VLOOKUP(D268,'Standard Smelter Names'!$B$3:$E$153,4,FALSE)),"",VLOOKUP(D268,'Standard Smelter Names'!$B$3:$E$153,4,FALSE))</f>
        <v/>
      </c>
      <c r="B268" s="170"/>
      <c r="C268" s="184"/>
      <c r="D268" s="184" t="str">
        <f t="shared" si="8"/>
        <v/>
      </c>
      <c r="E268" s="170" t="str">
        <f t="shared" si="9"/>
        <v/>
      </c>
      <c r="F268" s="170"/>
      <c r="G268" s="170"/>
      <c r="H268" s="170"/>
      <c r="I268" s="170"/>
      <c r="J268" s="170"/>
      <c r="K268" s="170"/>
      <c r="L268" s="170"/>
      <c r="M268" s="170"/>
      <c r="N268" s="170"/>
      <c r="O268" s="201"/>
    </row>
    <row r="269" spans="1:15" s="139" customFormat="1" ht="15.75">
      <c r="A269" s="205" t="str">
        <f>IF(ISNA(VLOOKUP(D269,'Standard Smelter Names'!$B$3:$E$153,4,FALSE)),"",VLOOKUP(D269,'Standard Smelter Names'!$B$3:$E$153,4,FALSE))</f>
        <v/>
      </c>
      <c r="B269" s="170"/>
      <c r="C269" s="184"/>
      <c r="D269" s="184" t="str">
        <f t="shared" si="8"/>
        <v/>
      </c>
      <c r="E269" s="170" t="str">
        <f t="shared" si="9"/>
        <v/>
      </c>
      <c r="F269" s="170"/>
      <c r="G269" s="170"/>
      <c r="H269" s="170"/>
      <c r="I269" s="170"/>
      <c r="J269" s="170"/>
      <c r="K269" s="170"/>
      <c r="L269" s="170"/>
      <c r="M269" s="170"/>
      <c r="N269" s="170"/>
      <c r="O269" s="201"/>
    </row>
    <row r="270" spans="1:15" s="139" customFormat="1" ht="15.75">
      <c r="A270" s="205" t="str">
        <f>IF(ISNA(VLOOKUP(D270,'Standard Smelter Names'!$B$3:$E$153,4,FALSE)),"",VLOOKUP(D270,'Standard Smelter Names'!$B$3:$E$153,4,FALSE))</f>
        <v/>
      </c>
      <c r="B270" s="170"/>
      <c r="C270" s="184"/>
      <c r="D270" s="184" t="str">
        <f t="shared" si="8"/>
        <v/>
      </c>
      <c r="E270" s="170" t="str">
        <f t="shared" si="9"/>
        <v/>
      </c>
      <c r="F270" s="170"/>
      <c r="G270" s="170"/>
      <c r="H270" s="170"/>
      <c r="I270" s="170"/>
      <c r="J270" s="170"/>
      <c r="K270" s="170"/>
      <c r="L270" s="170"/>
      <c r="M270" s="170"/>
      <c r="N270" s="170"/>
      <c r="O270" s="201"/>
    </row>
    <row r="271" spans="1:15" s="139" customFormat="1" ht="15.75">
      <c r="A271" s="205" t="str">
        <f>IF(ISNA(VLOOKUP(D271,'Standard Smelter Names'!$B$3:$E$153,4,FALSE)),"",VLOOKUP(D271,'Standard Smelter Names'!$B$3:$E$153,4,FALSE))</f>
        <v/>
      </c>
      <c r="B271" s="170"/>
      <c r="C271" s="184"/>
      <c r="D271" s="184" t="str">
        <f t="shared" si="8"/>
        <v/>
      </c>
      <c r="E271" s="170" t="str">
        <f t="shared" si="9"/>
        <v/>
      </c>
      <c r="F271" s="170"/>
      <c r="G271" s="170"/>
      <c r="H271" s="170"/>
      <c r="I271" s="170"/>
      <c r="J271" s="170"/>
      <c r="K271" s="170"/>
      <c r="L271" s="170"/>
      <c r="M271" s="170"/>
      <c r="N271" s="170"/>
      <c r="O271" s="201"/>
    </row>
    <row r="272" spans="1:15" s="139" customFormat="1" ht="15.75">
      <c r="A272" s="205" t="str">
        <f>IF(ISNA(VLOOKUP(D272,'Standard Smelter Names'!$B$3:$E$153,4,FALSE)),"",VLOOKUP(D272,'Standard Smelter Names'!$B$3:$E$153,4,FALSE))</f>
        <v/>
      </c>
      <c r="B272" s="170"/>
      <c r="C272" s="184"/>
      <c r="D272" s="184" t="str">
        <f t="shared" si="8"/>
        <v/>
      </c>
      <c r="E272" s="170" t="str">
        <f t="shared" si="9"/>
        <v/>
      </c>
      <c r="F272" s="170"/>
      <c r="G272" s="170"/>
      <c r="H272" s="170"/>
      <c r="I272" s="170"/>
      <c r="J272" s="170"/>
      <c r="K272" s="170"/>
      <c r="L272" s="170"/>
      <c r="M272" s="170"/>
      <c r="N272" s="170"/>
      <c r="O272" s="201"/>
    </row>
    <row r="273" spans="1:15" s="139" customFormat="1" ht="15.75">
      <c r="A273" s="205" t="str">
        <f>IF(ISNA(VLOOKUP(D273,'Standard Smelter Names'!$B$3:$E$153,4,FALSE)),"",VLOOKUP(D273,'Standard Smelter Names'!$B$3:$E$153,4,FALSE))</f>
        <v/>
      </c>
      <c r="B273" s="170"/>
      <c r="C273" s="184"/>
      <c r="D273" s="184" t="str">
        <f t="shared" si="8"/>
        <v/>
      </c>
      <c r="E273" s="170" t="str">
        <f t="shared" si="9"/>
        <v/>
      </c>
      <c r="F273" s="170"/>
      <c r="G273" s="170"/>
      <c r="H273" s="170"/>
      <c r="I273" s="170"/>
      <c r="J273" s="170"/>
      <c r="K273" s="170"/>
      <c r="L273" s="170"/>
      <c r="M273" s="170"/>
      <c r="N273" s="170"/>
      <c r="O273" s="201"/>
    </row>
    <row r="274" spans="1:15" s="139" customFormat="1" ht="15.75">
      <c r="A274" s="205" t="str">
        <f>IF(ISNA(VLOOKUP(D274,'Standard Smelter Names'!$B$3:$E$153,4,FALSE)),"",VLOOKUP(D274,'Standard Smelter Names'!$B$3:$E$153,4,FALSE))</f>
        <v/>
      </c>
      <c r="B274" s="170"/>
      <c r="C274" s="184"/>
      <c r="D274" s="184" t="str">
        <f t="shared" si="8"/>
        <v/>
      </c>
      <c r="E274" s="170" t="str">
        <f t="shared" si="9"/>
        <v/>
      </c>
      <c r="F274" s="170"/>
      <c r="G274" s="170"/>
      <c r="H274" s="170"/>
      <c r="I274" s="170"/>
      <c r="J274" s="170"/>
      <c r="K274" s="170"/>
      <c r="L274" s="170"/>
      <c r="M274" s="170"/>
      <c r="N274" s="170"/>
      <c r="O274" s="201"/>
    </row>
    <row r="275" spans="1:15" s="139" customFormat="1" ht="15.75">
      <c r="A275" s="205" t="str">
        <f>IF(ISNA(VLOOKUP(D275,'Standard Smelter Names'!$B$3:$E$153,4,FALSE)),"",VLOOKUP(D275,'Standard Smelter Names'!$B$3:$E$153,4,FALSE))</f>
        <v/>
      </c>
      <c r="B275" s="170"/>
      <c r="C275" s="184"/>
      <c r="D275" s="184" t="str">
        <f t="shared" si="8"/>
        <v/>
      </c>
      <c r="E275" s="170" t="str">
        <f t="shared" si="9"/>
        <v/>
      </c>
      <c r="F275" s="170"/>
      <c r="G275" s="170"/>
      <c r="H275" s="170"/>
      <c r="I275" s="170"/>
      <c r="J275" s="170"/>
      <c r="K275" s="170"/>
      <c r="L275" s="170"/>
      <c r="M275" s="170"/>
      <c r="N275" s="170"/>
      <c r="O275" s="201"/>
    </row>
    <row r="276" spans="1:15" s="139" customFormat="1" ht="15.75">
      <c r="A276" s="205" t="str">
        <f>IF(ISNA(VLOOKUP(D276,'Standard Smelter Names'!$B$3:$E$153,4,FALSE)),"",VLOOKUP(D276,'Standard Smelter Names'!$B$3:$E$153,4,FALSE))</f>
        <v/>
      </c>
      <c r="B276" s="170"/>
      <c r="C276" s="184"/>
      <c r="D276" s="184" t="str">
        <f t="shared" si="8"/>
        <v/>
      </c>
      <c r="E276" s="170" t="str">
        <f t="shared" si="9"/>
        <v/>
      </c>
      <c r="F276" s="170"/>
      <c r="G276" s="170"/>
      <c r="H276" s="170"/>
      <c r="I276" s="170"/>
      <c r="J276" s="170"/>
      <c r="K276" s="170"/>
      <c r="L276" s="170"/>
      <c r="M276" s="170"/>
      <c r="N276" s="170"/>
      <c r="O276" s="201"/>
    </row>
    <row r="277" spans="1:15" s="139" customFormat="1" ht="15.75">
      <c r="A277" s="205" t="str">
        <f>IF(ISNA(VLOOKUP(D277,'Standard Smelter Names'!$B$3:$E$153,4,FALSE)),"",VLOOKUP(D277,'Standard Smelter Names'!$B$3:$E$153,4,FALSE))</f>
        <v/>
      </c>
      <c r="B277" s="170"/>
      <c r="C277" s="184"/>
      <c r="D277" s="184" t="str">
        <f t="shared" si="8"/>
        <v/>
      </c>
      <c r="E277" s="170" t="str">
        <f t="shared" si="9"/>
        <v/>
      </c>
      <c r="F277" s="170"/>
      <c r="G277" s="170"/>
      <c r="H277" s="170"/>
      <c r="I277" s="170"/>
      <c r="J277" s="170"/>
      <c r="K277" s="170"/>
      <c r="L277" s="170"/>
      <c r="M277" s="170"/>
      <c r="N277" s="170"/>
      <c r="O277" s="201"/>
    </row>
    <row r="278" spans="1:15" s="139" customFormat="1" ht="15.75">
      <c r="A278" s="205" t="str">
        <f>IF(ISNA(VLOOKUP(D278,'Standard Smelter Names'!$B$3:$E$153,4,FALSE)),"",VLOOKUP(D278,'Standard Smelter Names'!$B$3:$E$153,4,FALSE))</f>
        <v/>
      </c>
      <c r="B278" s="170"/>
      <c r="C278" s="184"/>
      <c r="D278" s="184" t="str">
        <f t="shared" si="8"/>
        <v/>
      </c>
      <c r="E278" s="170" t="str">
        <f t="shared" si="9"/>
        <v/>
      </c>
      <c r="F278" s="170"/>
      <c r="G278" s="170"/>
      <c r="H278" s="170"/>
      <c r="I278" s="170"/>
      <c r="J278" s="170"/>
      <c r="K278" s="170"/>
      <c r="L278" s="170"/>
      <c r="M278" s="170"/>
      <c r="N278" s="170"/>
      <c r="O278" s="201"/>
    </row>
    <row r="279" spans="1:15" s="139" customFormat="1" ht="15.75">
      <c r="A279" s="205" t="str">
        <f>IF(ISNA(VLOOKUP(D279,'Standard Smelter Names'!$B$3:$E$153,4,FALSE)),"",VLOOKUP(D279,'Standard Smelter Names'!$B$3:$E$153,4,FALSE))</f>
        <v/>
      </c>
      <c r="B279" s="170"/>
      <c r="C279" s="184"/>
      <c r="D279" s="184" t="str">
        <f t="shared" si="8"/>
        <v/>
      </c>
      <c r="E279" s="170" t="str">
        <f t="shared" si="9"/>
        <v/>
      </c>
      <c r="F279" s="170"/>
      <c r="G279" s="170"/>
      <c r="H279" s="170"/>
      <c r="I279" s="170"/>
      <c r="J279" s="170"/>
      <c r="K279" s="170"/>
      <c r="L279" s="170"/>
      <c r="M279" s="170"/>
      <c r="N279" s="170"/>
      <c r="O279" s="201"/>
    </row>
    <row r="280" spans="1:15" s="139" customFormat="1" ht="15.75">
      <c r="A280" s="205" t="str">
        <f>IF(ISNA(VLOOKUP(D280,'Standard Smelter Names'!$B$3:$E$153,4,FALSE)),"",VLOOKUP(D280,'Standard Smelter Names'!$B$3:$E$153,4,FALSE))</f>
        <v/>
      </c>
      <c r="B280" s="170"/>
      <c r="C280" s="184"/>
      <c r="D280" s="184" t="str">
        <f t="shared" si="8"/>
        <v/>
      </c>
      <c r="E280" s="170" t="str">
        <f t="shared" si="9"/>
        <v/>
      </c>
      <c r="F280" s="170"/>
      <c r="G280" s="170"/>
      <c r="H280" s="170"/>
      <c r="I280" s="170"/>
      <c r="J280" s="170"/>
      <c r="K280" s="170"/>
      <c r="L280" s="170"/>
      <c r="M280" s="170"/>
      <c r="N280" s="170"/>
      <c r="O280" s="201"/>
    </row>
    <row r="281" spans="1:15" s="139" customFormat="1" ht="15.75">
      <c r="A281" s="205" t="str">
        <f>IF(ISNA(VLOOKUP(D281,'Standard Smelter Names'!$B$3:$E$153,4,FALSE)),"",VLOOKUP(D281,'Standard Smelter Names'!$B$3:$E$153,4,FALSE))</f>
        <v/>
      </c>
      <c r="B281" s="170"/>
      <c r="C281" s="184"/>
      <c r="D281" s="184" t="str">
        <f t="shared" si="8"/>
        <v/>
      </c>
      <c r="E281" s="170" t="str">
        <f t="shared" si="9"/>
        <v/>
      </c>
      <c r="F281" s="170"/>
      <c r="G281" s="170"/>
      <c r="H281" s="170"/>
      <c r="I281" s="170"/>
      <c r="J281" s="170"/>
      <c r="K281" s="170"/>
      <c r="L281" s="170"/>
      <c r="M281" s="170"/>
      <c r="N281" s="170"/>
      <c r="O281" s="201"/>
    </row>
    <row r="282" spans="1:15" s="139" customFormat="1" ht="15.75">
      <c r="A282" s="205" t="str">
        <f>IF(ISNA(VLOOKUP(D282,'Standard Smelter Names'!$B$3:$E$153,4,FALSE)),"",VLOOKUP(D282,'Standard Smelter Names'!$B$3:$E$153,4,FALSE))</f>
        <v/>
      </c>
      <c r="B282" s="170"/>
      <c r="C282" s="184"/>
      <c r="D282" s="184" t="str">
        <f t="shared" si="8"/>
        <v/>
      </c>
      <c r="E282" s="170" t="str">
        <f t="shared" si="9"/>
        <v/>
      </c>
      <c r="F282" s="170"/>
      <c r="G282" s="170"/>
      <c r="H282" s="170"/>
      <c r="I282" s="170"/>
      <c r="J282" s="170"/>
      <c r="K282" s="170"/>
      <c r="L282" s="170"/>
      <c r="M282" s="170"/>
      <c r="N282" s="170"/>
      <c r="O282" s="201"/>
    </row>
    <row r="283" spans="1:15" s="139" customFormat="1" ht="15.75">
      <c r="A283" s="205" t="str">
        <f>IF(ISNA(VLOOKUP(D283,'Standard Smelter Names'!$B$3:$E$153,4,FALSE)),"",VLOOKUP(D283,'Standard Smelter Names'!$B$3:$E$153,4,FALSE))</f>
        <v/>
      </c>
      <c r="B283" s="170"/>
      <c r="C283" s="184"/>
      <c r="D283" s="184" t="str">
        <f t="shared" si="8"/>
        <v/>
      </c>
      <c r="E283" s="170" t="str">
        <f t="shared" si="9"/>
        <v/>
      </c>
      <c r="F283" s="170"/>
      <c r="G283" s="170"/>
      <c r="H283" s="170"/>
      <c r="I283" s="170"/>
      <c r="J283" s="170"/>
      <c r="K283" s="170"/>
      <c r="L283" s="170"/>
      <c r="M283" s="170"/>
      <c r="N283" s="170"/>
      <c r="O283" s="201"/>
    </row>
    <row r="284" spans="1:15" s="139" customFormat="1" ht="15.75">
      <c r="A284" s="205" t="str">
        <f>IF(ISNA(VLOOKUP(D284,'Standard Smelter Names'!$B$3:$E$153,4,FALSE)),"",VLOOKUP(D284,'Standard Smelter Names'!$B$3:$E$153,4,FALSE))</f>
        <v/>
      </c>
      <c r="B284" s="170"/>
      <c r="C284" s="184"/>
      <c r="D284" s="184" t="str">
        <f t="shared" si="8"/>
        <v/>
      </c>
      <c r="E284" s="170" t="str">
        <f t="shared" si="9"/>
        <v/>
      </c>
      <c r="F284" s="170"/>
      <c r="G284" s="170"/>
      <c r="H284" s="170"/>
      <c r="I284" s="170"/>
      <c r="J284" s="170"/>
      <c r="K284" s="170"/>
      <c r="L284" s="170"/>
      <c r="M284" s="170"/>
      <c r="N284" s="170"/>
      <c r="O284" s="201"/>
    </row>
    <row r="285" spans="1:15" s="139" customFormat="1" ht="15.75">
      <c r="A285" s="205" t="str">
        <f>IF(ISNA(VLOOKUP(D285,'Standard Smelter Names'!$B$3:$E$153,4,FALSE)),"",VLOOKUP(D285,'Standard Smelter Names'!$B$3:$E$153,4,FALSE))</f>
        <v/>
      </c>
      <c r="B285" s="170"/>
      <c r="C285" s="184"/>
      <c r="D285" s="184" t="str">
        <f t="shared" si="8"/>
        <v/>
      </c>
      <c r="E285" s="170" t="str">
        <f t="shared" si="9"/>
        <v/>
      </c>
      <c r="F285" s="170"/>
      <c r="G285" s="170"/>
      <c r="H285" s="170"/>
      <c r="I285" s="170"/>
      <c r="J285" s="170"/>
      <c r="K285" s="170"/>
      <c r="L285" s="170"/>
      <c r="M285" s="170"/>
      <c r="N285" s="170"/>
      <c r="O285" s="201"/>
    </row>
    <row r="286" spans="1:15" s="139" customFormat="1" ht="15.75">
      <c r="A286" s="205" t="str">
        <f>IF(ISNA(VLOOKUP(D286,'Standard Smelter Names'!$B$3:$E$153,4,FALSE)),"",VLOOKUP(D286,'Standard Smelter Names'!$B$3:$E$153,4,FALSE))</f>
        <v/>
      </c>
      <c r="B286" s="170"/>
      <c r="C286" s="184"/>
      <c r="D286" s="184" t="str">
        <f t="shared" si="8"/>
        <v/>
      </c>
      <c r="E286" s="170" t="str">
        <f t="shared" si="9"/>
        <v/>
      </c>
      <c r="F286" s="170"/>
      <c r="G286" s="170"/>
      <c r="H286" s="170"/>
      <c r="I286" s="170"/>
      <c r="J286" s="170"/>
      <c r="K286" s="170"/>
      <c r="L286" s="170"/>
      <c r="M286" s="170"/>
      <c r="N286" s="170"/>
      <c r="O286" s="201"/>
    </row>
    <row r="287" spans="1:15" s="139" customFormat="1" ht="15.75">
      <c r="A287" s="205" t="str">
        <f>IF(ISNA(VLOOKUP(D287,'Standard Smelter Names'!$B$3:$E$153,4,FALSE)),"",VLOOKUP(D287,'Standard Smelter Names'!$B$3:$E$153,4,FALSE))</f>
        <v/>
      </c>
      <c r="B287" s="170"/>
      <c r="C287" s="184"/>
      <c r="D287" s="184" t="str">
        <f t="shared" si="8"/>
        <v/>
      </c>
      <c r="E287" s="170" t="str">
        <f t="shared" si="9"/>
        <v/>
      </c>
      <c r="F287" s="170"/>
      <c r="G287" s="170"/>
      <c r="H287" s="170"/>
      <c r="I287" s="170"/>
      <c r="J287" s="170"/>
      <c r="K287" s="170"/>
      <c r="L287" s="170"/>
      <c r="M287" s="170"/>
      <c r="N287" s="170"/>
      <c r="O287" s="201"/>
    </row>
    <row r="288" spans="1:15" s="139" customFormat="1" ht="15.75">
      <c r="A288" s="205" t="str">
        <f>IF(ISNA(VLOOKUP(D288,'Standard Smelter Names'!$B$3:$E$153,4,FALSE)),"",VLOOKUP(D288,'Standard Smelter Names'!$B$3:$E$153,4,FALSE))</f>
        <v/>
      </c>
      <c r="B288" s="170"/>
      <c r="C288" s="184"/>
      <c r="D288" s="184" t="str">
        <f t="shared" si="8"/>
        <v/>
      </c>
      <c r="E288" s="170" t="str">
        <f t="shared" si="9"/>
        <v/>
      </c>
      <c r="F288" s="170"/>
      <c r="G288" s="170"/>
      <c r="H288" s="170"/>
      <c r="I288" s="170"/>
      <c r="J288" s="170"/>
      <c r="K288" s="170"/>
      <c r="L288" s="170"/>
      <c r="M288" s="170"/>
      <c r="N288" s="170"/>
      <c r="O288" s="201"/>
    </row>
    <row r="289" spans="1:15" s="139" customFormat="1" ht="15.75">
      <c r="A289" s="205" t="str">
        <f>IF(ISNA(VLOOKUP(D289,'Standard Smelter Names'!$B$3:$E$153,4,FALSE)),"",VLOOKUP(D289,'Standard Smelter Names'!$B$3:$E$153,4,FALSE))</f>
        <v/>
      </c>
      <c r="B289" s="170"/>
      <c r="C289" s="184"/>
      <c r="D289" s="184" t="str">
        <f t="shared" si="8"/>
        <v/>
      </c>
      <c r="E289" s="170" t="str">
        <f t="shared" si="9"/>
        <v/>
      </c>
      <c r="F289" s="170"/>
      <c r="G289" s="170"/>
      <c r="H289" s="170"/>
      <c r="I289" s="170"/>
      <c r="J289" s="170"/>
      <c r="K289" s="170"/>
      <c r="L289" s="170"/>
      <c r="M289" s="170"/>
      <c r="N289" s="170"/>
      <c r="O289" s="201"/>
    </row>
    <row r="290" spans="1:15" s="139" customFormat="1" ht="15.75">
      <c r="A290" s="205" t="str">
        <f>IF(ISNA(VLOOKUP(D290,'Standard Smelter Names'!$B$3:$E$153,4,FALSE)),"",VLOOKUP(D290,'Standard Smelter Names'!$B$3:$E$153,4,FALSE))</f>
        <v/>
      </c>
      <c r="B290" s="170"/>
      <c r="C290" s="184"/>
      <c r="D290" s="184" t="str">
        <f t="shared" si="8"/>
        <v/>
      </c>
      <c r="E290" s="170" t="str">
        <f t="shared" si="9"/>
        <v/>
      </c>
      <c r="F290" s="170"/>
      <c r="G290" s="170"/>
      <c r="H290" s="170"/>
      <c r="I290" s="170"/>
      <c r="J290" s="170"/>
      <c r="K290" s="170"/>
      <c r="L290" s="170"/>
      <c r="M290" s="170"/>
      <c r="N290" s="170"/>
      <c r="O290" s="201"/>
    </row>
    <row r="291" spans="1:15" s="139" customFormat="1" ht="15.75">
      <c r="A291" s="205" t="str">
        <f>IF(ISNA(VLOOKUP(D291,'Standard Smelter Names'!$B$3:$E$153,4,FALSE)),"",VLOOKUP(D291,'Standard Smelter Names'!$B$3:$E$153,4,FALSE))</f>
        <v/>
      </c>
      <c r="B291" s="170"/>
      <c r="C291" s="184"/>
      <c r="D291" s="184" t="str">
        <f t="shared" si="8"/>
        <v/>
      </c>
      <c r="E291" s="170" t="str">
        <f t="shared" si="9"/>
        <v/>
      </c>
      <c r="F291" s="170"/>
      <c r="G291" s="170"/>
      <c r="H291" s="170"/>
      <c r="I291" s="170"/>
      <c r="J291" s="170"/>
      <c r="K291" s="170"/>
      <c r="L291" s="170"/>
      <c r="M291" s="170"/>
      <c r="N291" s="170"/>
      <c r="O291" s="201"/>
    </row>
    <row r="292" spans="1:15" s="139" customFormat="1" ht="15.75">
      <c r="A292" s="205" t="str">
        <f>IF(ISNA(VLOOKUP(D292,'Standard Smelter Names'!$B$3:$E$153,4,FALSE)),"",VLOOKUP(D292,'Standard Smelter Names'!$B$3:$E$153,4,FALSE))</f>
        <v/>
      </c>
      <c r="B292" s="170"/>
      <c r="C292" s="184"/>
      <c r="D292" s="184" t="str">
        <f t="shared" si="8"/>
        <v/>
      </c>
      <c r="E292" s="170" t="str">
        <f t="shared" si="9"/>
        <v/>
      </c>
      <c r="F292" s="170"/>
      <c r="G292" s="170"/>
      <c r="H292" s="170"/>
      <c r="I292" s="170"/>
      <c r="J292" s="170"/>
      <c r="K292" s="170"/>
      <c r="L292" s="170"/>
      <c r="M292" s="170"/>
      <c r="N292" s="170"/>
      <c r="O292" s="201"/>
    </row>
    <row r="293" spans="1:15" s="139" customFormat="1" ht="15.75">
      <c r="A293" s="205" t="str">
        <f>IF(ISNA(VLOOKUP(D293,'Standard Smelter Names'!$B$3:$E$153,4,FALSE)),"",VLOOKUP(D293,'Standard Smelter Names'!$B$3:$E$153,4,FALSE))</f>
        <v/>
      </c>
      <c r="B293" s="170"/>
      <c r="C293" s="184"/>
      <c r="D293" s="184" t="str">
        <f t="shared" si="8"/>
        <v/>
      </c>
      <c r="E293" s="170" t="str">
        <f t="shared" si="9"/>
        <v/>
      </c>
      <c r="F293" s="170"/>
      <c r="G293" s="170"/>
      <c r="H293" s="170"/>
      <c r="I293" s="170"/>
      <c r="J293" s="170"/>
      <c r="K293" s="170"/>
      <c r="L293" s="170"/>
      <c r="M293" s="170"/>
      <c r="N293" s="170"/>
      <c r="O293" s="201"/>
    </row>
    <row r="294" spans="1:15" s="139" customFormat="1" ht="15.75">
      <c r="A294" s="205" t="str">
        <f>IF(ISNA(VLOOKUP(D294,'Standard Smelter Names'!$B$3:$E$153,4,FALSE)),"",VLOOKUP(D294,'Standard Smelter Names'!$B$3:$E$153,4,FALSE))</f>
        <v/>
      </c>
      <c r="B294" s="170"/>
      <c r="C294" s="184"/>
      <c r="D294" s="184" t="str">
        <f t="shared" si="8"/>
        <v/>
      </c>
      <c r="E294" s="170" t="str">
        <f t="shared" si="9"/>
        <v/>
      </c>
      <c r="F294" s="170"/>
      <c r="G294" s="170"/>
      <c r="H294" s="170"/>
      <c r="I294" s="170"/>
      <c r="J294" s="170"/>
      <c r="K294" s="170"/>
      <c r="L294" s="170"/>
      <c r="M294" s="170"/>
      <c r="N294" s="170"/>
      <c r="O294" s="201"/>
    </row>
    <row r="295" spans="1:15" s="139" customFormat="1" ht="15.75">
      <c r="A295" s="205" t="str">
        <f>IF(ISNA(VLOOKUP(D295,'Standard Smelter Names'!$B$3:$E$153,4,FALSE)),"",VLOOKUP(D295,'Standard Smelter Names'!$B$3:$E$153,4,FALSE))</f>
        <v/>
      </c>
      <c r="B295" s="170"/>
      <c r="C295" s="184"/>
      <c r="D295" s="184" t="str">
        <f t="shared" si="8"/>
        <v/>
      </c>
      <c r="E295" s="170" t="str">
        <f t="shared" si="9"/>
        <v/>
      </c>
      <c r="F295" s="170"/>
      <c r="G295" s="170"/>
      <c r="H295" s="170"/>
      <c r="I295" s="170"/>
      <c r="J295" s="170"/>
      <c r="K295" s="170"/>
      <c r="L295" s="170"/>
      <c r="M295" s="170"/>
      <c r="N295" s="170"/>
      <c r="O295" s="201"/>
    </row>
    <row r="296" spans="1:15" s="139" customFormat="1" ht="15.75">
      <c r="A296" s="205" t="str">
        <f>IF(ISNA(VLOOKUP(D296,'Standard Smelter Names'!$B$3:$E$153,4,FALSE)),"",VLOOKUP(D296,'Standard Smelter Names'!$B$3:$E$153,4,FALSE))</f>
        <v/>
      </c>
      <c r="B296" s="170"/>
      <c r="C296" s="184"/>
      <c r="D296" s="184" t="str">
        <f t="shared" si="8"/>
        <v/>
      </c>
      <c r="E296" s="170" t="str">
        <f t="shared" si="9"/>
        <v/>
      </c>
      <c r="F296" s="170"/>
      <c r="G296" s="170"/>
      <c r="H296" s="170"/>
      <c r="I296" s="170"/>
      <c r="J296" s="170"/>
      <c r="K296" s="170"/>
      <c r="L296" s="170"/>
      <c r="M296" s="170"/>
      <c r="N296" s="170"/>
      <c r="O296" s="201"/>
    </row>
    <row r="297" spans="1:15" s="139" customFormat="1" ht="15.75">
      <c r="A297" s="205" t="str">
        <f>IF(ISNA(VLOOKUP(D297,'Standard Smelter Names'!$B$3:$E$153,4,FALSE)),"",VLOOKUP(D297,'Standard Smelter Names'!$B$3:$E$153,4,FALSE))</f>
        <v/>
      </c>
      <c r="B297" s="170"/>
      <c r="C297" s="184"/>
      <c r="D297" s="184" t="str">
        <f t="shared" si="8"/>
        <v/>
      </c>
      <c r="E297" s="170" t="str">
        <f t="shared" si="9"/>
        <v/>
      </c>
      <c r="F297" s="170"/>
      <c r="G297" s="170"/>
      <c r="H297" s="170"/>
      <c r="I297" s="170"/>
      <c r="J297" s="170"/>
      <c r="K297" s="170"/>
      <c r="L297" s="170"/>
      <c r="M297" s="170"/>
      <c r="N297" s="170"/>
      <c r="O297" s="201"/>
    </row>
    <row r="298" spans="1:15" s="139" customFormat="1" ht="15.75">
      <c r="A298" s="205" t="str">
        <f>IF(ISNA(VLOOKUP(D298,'Standard Smelter Names'!$B$3:$E$153,4,FALSE)),"",VLOOKUP(D298,'Standard Smelter Names'!$B$3:$E$153,4,FALSE))</f>
        <v/>
      </c>
      <c r="B298" s="170"/>
      <c r="C298" s="184"/>
      <c r="D298" s="184" t="str">
        <f t="shared" si="8"/>
        <v/>
      </c>
      <c r="E298" s="170" t="str">
        <f t="shared" si="9"/>
        <v/>
      </c>
      <c r="F298" s="170"/>
      <c r="G298" s="170"/>
      <c r="H298" s="170"/>
      <c r="I298" s="170"/>
      <c r="J298" s="170"/>
      <c r="K298" s="170"/>
      <c r="L298" s="170"/>
      <c r="M298" s="170"/>
      <c r="N298" s="170"/>
      <c r="O298" s="201"/>
    </row>
    <row r="299" spans="1:15" s="139" customFormat="1" ht="15.75">
      <c r="A299" s="205" t="str">
        <f>IF(ISNA(VLOOKUP(D299,'Standard Smelter Names'!$B$3:$E$153,4,FALSE)),"",VLOOKUP(D299,'Standard Smelter Names'!$B$3:$E$153,4,FALSE))</f>
        <v/>
      </c>
      <c r="B299" s="170"/>
      <c r="C299" s="184"/>
      <c r="D299" s="184" t="str">
        <f t="shared" si="8"/>
        <v/>
      </c>
      <c r="E299" s="170" t="str">
        <f t="shared" si="9"/>
        <v/>
      </c>
      <c r="F299" s="170"/>
      <c r="G299" s="170"/>
      <c r="H299" s="170"/>
      <c r="I299" s="170"/>
      <c r="J299" s="170"/>
      <c r="K299" s="170"/>
      <c r="L299" s="170"/>
      <c r="M299" s="170"/>
      <c r="N299" s="170"/>
      <c r="O299" s="201"/>
    </row>
    <row r="300" spans="1:15" s="139" customFormat="1" ht="15.75">
      <c r="A300" s="205" t="str">
        <f>IF(ISNA(VLOOKUP(D300,'Standard Smelter Names'!$B$3:$E$153,4,FALSE)),"",VLOOKUP(D300,'Standard Smelter Names'!$B$3:$E$153,4,FALSE))</f>
        <v/>
      </c>
      <c r="B300" s="170"/>
      <c r="C300" s="184"/>
      <c r="D300" s="184" t="str">
        <f t="shared" si="8"/>
        <v/>
      </c>
      <c r="E300" s="170" t="str">
        <f t="shared" si="9"/>
        <v/>
      </c>
      <c r="F300" s="170"/>
      <c r="G300" s="170"/>
      <c r="H300" s="170"/>
      <c r="I300" s="170"/>
      <c r="J300" s="170"/>
      <c r="K300" s="170"/>
      <c r="L300" s="170"/>
      <c r="M300" s="170"/>
      <c r="N300" s="170"/>
      <c r="O300" s="201"/>
    </row>
    <row r="301" spans="1:15" s="139" customFormat="1" ht="15.75">
      <c r="A301" s="205" t="str">
        <f>IF(ISNA(VLOOKUP(D301,'Standard Smelter Names'!$B$3:$E$153,4,FALSE)),"",VLOOKUP(D301,'Standard Smelter Names'!$B$3:$E$153,4,FALSE))</f>
        <v/>
      </c>
      <c r="B301" s="170"/>
      <c r="C301" s="184"/>
      <c r="D301" s="184" t="str">
        <f t="shared" si="8"/>
        <v/>
      </c>
      <c r="E301" s="170" t="str">
        <f t="shared" si="9"/>
        <v/>
      </c>
      <c r="F301" s="170"/>
      <c r="G301" s="170"/>
      <c r="H301" s="170"/>
      <c r="I301" s="170"/>
      <c r="J301" s="170"/>
      <c r="K301" s="170"/>
      <c r="L301" s="170"/>
      <c r="M301" s="170"/>
      <c r="N301" s="170"/>
      <c r="O301" s="201"/>
    </row>
    <row r="302" spans="1:15" s="139" customFormat="1" ht="15.75">
      <c r="A302" s="205" t="str">
        <f>IF(ISNA(VLOOKUP(D302,'Standard Smelter Names'!$B$3:$E$153,4,FALSE)),"",VLOOKUP(D302,'Standard Smelter Names'!$B$3:$E$153,4,FALSE))</f>
        <v/>
      </c>
      <c r="B302" s="170"/>
      <c r="C302" s="184"/>
      <c r="D302" s="184" t="str">
        <f t="shared" si="8"/>
        <v/>
      </c>
      <c r="E302" s="170" t="str">
        <f t="shared" si="9"/>
        <v/>
      </c>
      <c r="F302" s="170"/>
      <c r="G302" s="170"/>
      <c r="H302" s="170"/>
      <c r="I302" s="170"/>
      <c r="J302" s="170"/>
      <c r="K302" s="170"/>
      <c r="L302" s="170"/>
      <c r="M302" s="170"/>
      <c r="N302" s="170"/>
      <c r="O302" s="201"/>
    </row>
    <row r="303" spans="1:15" s="139" customFormat="1" ht="15.75">
      <c r="A303" s="205" t="str">
        <f>IF(ISNA(VLOOKUP(D303,'Standard Smelter Names'!$B$3:$E$153,4,FALSE)),"",VLOOKUP(D303,'Standard Smelter Names'!$B$3:$E$153,4,FALSE))</f>
        <v/>
      </c>
      <c r="B303" s="170"/>
      <c r="C303" s="184"/>
      <c r="D303" s="184" t="str">
        <f t="shared" si="8"/>
        <v/>
      </c>
      <c r="E303" s="170" t="str">
        <f t="shared" si="9"/>
        <v/>
      </c>
      <c r="F303" s="170"/>
      <c r="G303" s="170"/>
      <c r="H303" s="170"/>
      <c r="I303" s="170"/>
      <c r="J303" s="170"/>
      <c r="K303" s="170"/>
      <c r="L303" s="170"/>
      <c r="M303" s="170"/>
      <c r="N303" s="170"/>
      <c r="O303" s="201"/>
    </row>
    <row r="304" spans="1:15" s="139" customFormat="1" ht="15.75">
      <c r="A304" s="205" t="str">
        <f>IF(ISNA(VLOOKUP(D304,'Standard Smelter Names'!$B$3:$E$153,4,FALSE)),"",VLOOKUP(D304,'Standard Smelter Names'!$B$3:$E$153,4,FALSE))</f>
        <v/>
      </c>
      <c r="B304" s="170"/>
      <c r="C304" s="184"/>
      <c r="D304" s="184" t="str">
        <f t="shared" si="8"/>
        <v/>
      </c>
      <c r="E304" s="170" t="str">
        <f t="shared" si="9"/>
        <v/>
      </c>
      <c r="F304" s="170"/>
      <c r="G304" s="170"/>
      <c r="H304" s="170"/>
      <c r="I304" s="170"/>
      <c r="J304" s="170"/>
      <c r="K304" s="170"/>
      <c r="L304" s="170"/>
      <c r="M304" s="170"/>
      <c r="N304" s="170"/>
      <c r="O304" s="201"/>
    </row>
    <row r="305" spans="1:15" s="139" customFormat="1" ht="15.75">
      <c r="A305" s="205" t="str">
        <f>IF(ISNA(VLOOKUP(D305,'Standard Smelter Names'!$B$3:$E$153,4,FALSE)),"",VLOOKUP(D305,'Standard Smelter Names'!$B$3:$E$153,4,FALSE))</f>
        <v/>
      </c>
      <c r="B305" s="170"/>
      <c r="C305" s="184"/>
      <c r="D305" s="184" t="str">
        <f t="shared" si="8"/>
        <v/>
      </c>
      <c r="E305" s="170" t="str">
        <f t="shared" si="9"/>
        <v/>
      </c>
      <c r="F305" s="170"/>
      <c r="G305" s="170"/>
      <c r="H305" s="170"/>
      <c r="I305" s="170"/>
      <c r="J305" s="170"/>
      <c r="K305" s="170"/>
      <c r="L305" s="170"/>
      <c r="M305" s="170"/>
      <c r="N305" s="170"/>
      <c r="O305" s="201"/>
    </row>
    <row r="306" spans="1:15" s="139" customFormat="1" ht="15.75">
      <c r="A306" s="205" t="str">
        <f>IF(ISNA(VLOOKUP(D306,'Standard Smelter Names'!$B$3:$E$153,4,FALSE)),"",VLOOKUP(D306,'Standard Smelter Names'!$B$3:$E$153,4,FALSE))</f>
        <v/>
      </c>
      <c r="B306" s="170"/>
      <c r="C306" s="184"/>
      <c r="D306" s="184" t="str">
        <f t="shared" si="8"/>
        <v/>
      </c>
      <c r="E306" s="170" t="str">
        <f t="shared" si="9"/>
        <v/>
      </c>
      <c r="F306" s="170"/>
      <c r="G306" s="170"/>
      <c r="H306" s="170"/>
      <c r="I306" s="170"/>
      <c r="J306" s="170"/>
      <c r="K306" s="170"/>
      <c r="L306" s="170"/>
      <c r="M306" s="170"/>
      <c r="N306" s="170"/>
      <c r="O306" s="201"/>
    </row>
    <row r="307" spans="1:15" s="139" customFormat="1" ht="15.75">
      <c r="A307" s="205" t="str">
        <f>IF(ISNA(VLOOKUP(D307,'Standard Smelter Names'!$B$3:$E$153,4,FALSE)),"",VLOOKUP(D307,'Standard Smelter Names'!$B$3:$E$153,4,FALSE))</f>
        <v/>
      </c>
      <c r="B307" s="170"/>
      <c r="C307" s="184"/>
      <c r="D307" s="184" t="str">
        <f t="shared" si="8"/>
        <v/>
      </c>
      <c r="E307" s="170" t="str">
        <f t="shared" si="9"/>
        <v/>
      </c>
      <c r="F307" s="170"/>
      <c r="G307" s="170"/>
      <c r="H307" s="170"/>
      <c r="I307" s="170"/>
      <c r="J307" s="170"/>
      <c r="K307" s="170"/>
      <c r="L307" s="170"/>
      <c r="M307" s="170"/>
      <c r="N307" s="170"/>
      <c r="O307" s="201"/>
    </row>
    <row r="308" spans="1:15" s="139" customFormat="1" ht="15.75">
      <c r="A308" s="205" t="str">
        <f>IF(ISNA(VLOOKUP(D308,'Standard Smelter Names'!$B$3:$E$153,4,FALSE)),"",VLOOKUP(D308,'Standard Smelter Names'!$B$3:$E$153,4,FALSE))</f>
        <v/>
      </c>
      <c r="B308" s="170"/>
      <c r="C308" s="184"/>
      <c r="D308" s="184" t="str">
        <f t="shared" si="8"/>
        <v/>
      </c>
      <c r="E308" s="170" t="str">
        <f t="shared" si="9"/>
        <v/>
      </c>
      <c r="F308" s="170"/>
      <c r="G308" s="170"/>
      <c r="H308" s="170"/>
      <c r="I308" s="170"/>
      <c r="J308" s="170"/>
      <c r="K308" s="170"/>
      <c r="L308" s="170"/>
      <c r="M308" s="170"/>
      <c r="N308" s="170"/>
      <c r="O308" s="201"/>
    </row>
    <row r="309" spans="1:15" s="139" customFormat="1" ht="15.75">
      <c r="A309" s="205" t="str">
        <f>IF(ISNA(VLOOKUP(D309,'Standard Smelter Names'!$B$3:$E$153,4,FALSE)),"",VLOOKUP(D309,'Standard Smelter Names'!$B$3:$E$153,4,FALSE))</f>
        <v/>
      </c>
      <c r="B309" s="170"/>
      <c r="C309" s="184"/>
      <c r="D309" s="184" t="str">
        <f t="shared" si="8"/>
        <v/>
      </c>
      <c r="E309" s="170" t="str">
        <f t="shared" si="9"/>
        <v/>
      </c>
      <c r="F309" s="170"/>
      <c r="G309" s="170"/>
      <c r="H309" s="170"/>
      <c r="I309" s="170"/>
      <c r="J309" s="170"/>
      <c r="K309" s="170"/>
      <c r="L309" s="170"/>
      <c r="M309" s="170"/>
      <c r="N309" s="170"/>
      <c r="O309" s="201"/>
    </row>
    <row r="310" spans="1:15" s="139" customFormat="1" ht="15.75">
      <c r="A310" s="205" t="str">
        <f>IF(ISNA(VLOOKUP(D310,'Standard Smelter Names'!$B$3:$E$153,4,FALSE)),"",VLOOKUP(D310,'Standard Smelter Names'!$B$3:$E$153,4,FALSE))</f>
        <v/>
      </c>
      <c r="B310" s="170"/>
      <c r="C310" s="184"/>
      <c r="D310" s="184" t="str">
        <f t="shared" si="8"/>
        <v/>
      </c>
      <c r="E310" s="170" t="str">
        <f t="shared" si="9"/>
        <v/>
      </c>
      <c r="F310" s="170"/>
      <c r="G310" s="170"/>
      <c r="H310" s="170"/>
      <c r="I310" s="170"/>
      <c r="J310" s="170"/>
      <c r="K310" s="170"/>
      <c r="L310" s="170"/>
      <c r="M310" s="170"/>
      <c r="N310" s="170"/>
      <c r="O310" s="201"/>
    </row>
    <row r="311" spans="1:15" s="139" customFormat="1" ht="15.75">
      <c r="A311" s="205" t="str">
        <f>IF(ISNA(VLOOKUP(D311,'Standard Smelter Names'!$B$3:$E$153,4,FALSE)),"",VLOOKUP(D311,'Standard Smelter Names'!$B$3:$E$153,4,FALSE))</f>
        <v/>
      </c>
      <c r="B311" s="170"/>
      <c r="C311" s="184"/>
      <c r="D311" s="184" t="str">
        <f t="shared" si="8"/>
        <v/>
      </c>
      <c r="E311" s="170" t="str">
        <f t="shared" si="9"/>
        <v/>
      </c>
      <c r="F311" s="170"/>
      <c r="G311" s="170"/>
      <c r="H311" s="170"/>
      <c r="I311" s="170"/>
      <c r="J311" s="170"/>
      <c r="K311" s="170"/>
      <c r="L311" s="170"/>
      <c r="M311" s="170"/>
      <c r="N311" s="170"/>
      <c r="O311" s="201"/>
    </row>
    <row r="312" spans="1:15" s="139" customFormat="1" ht="15.75">
      <c r="A312" s="205" t="str">
        <f>IF(ISNA(VLOOKUP(D312,'Standard Smelter Names'!$B$3:$E$153,4,FALSE)),"",VLOOKUP(D312,'Standard Smelter Names'!$B$3:$E$153,4,FALSE))</f>
        <v/>
      </c>
      <c r="B312" s="170"/>
      <c r="C312" s="184"/>
      <c r="D312" s="184" t="str">
        <f t="shared" si="8"/>
        <v/>
      </c>
      <c r="E312" s="170" t="str">
        <f t="shared" si="9"/>
        <v/>
      </c>
      <c r="F312" s="170"/>
      <c r="G312" s="170"/>
      <c r="H312" s="170"/>
      <c r="I312" s="170"/>
      <c r="J312" s="170"/>
      <c r="K312" s="170"/>
      <c r="L312" s="170"/>
      <c r="M312" s="170"/>
      <c r="N312" s="170"/>
      <c r="O312" s="201"/>
    </row>
    <row r="313" spans="1:15" s="139" customFormat="1" ht="15.75">
      <c r="A313" s="205" t="str">
        <f>IF(ISNA(VLOOKUP(D313,'Standard Smelter Names'!$B$3:$E$153,4,FALSE)),"",VLOOKUP(D313,'Standard Smelter Names'!$B$3:$E$153,4,FALSE))</f>
        <v/>
      </c>
      <c r="B313" s="170"/>
      <c r="C313" s="184"/>
      <c r="D313" s="184" t="str">
        <f t="shared" si="8"/>
        <v/>
      </c>
      <c r="E313" s="170" t="str">
        <f t="shared" si="9"/>
        <v/>
      </c>
      <c r="F313" s="170"/>
      <c r="G313" s="170"/>
      <c r="H313" s="170"/>
      <c r="I313" s="170"/>
      <c r="J313" s="170"/>
      <c r="K313" s="170"/>
      <c r="L313" s="170"/>
      <c r="M313" s="170"/>
      <c r="N313" s="170"/>
      <c r="O313" s="201"/>
    </row>
    <row r="314" spans="1:15" s="139" customFormat="1" ht="15.75">
      <c r="A314" s="205" t="str">
        <f>IF(ISNA(VLOOKUP(D314,'Standard Smelter Names'!$B$3:$E$153,4,FALSE)),"",VLOOKUP(D314,'Standard Smelter Names'!$B$3:$E$153,4,FALSE))</f>
        <v/>
      </c>
      <c r="B314" s="170"/>
      <c r="C314" s="184"/>
      <c r="D314" s="184" t="str">
        <f t="shared" si="8"/>
        <v/>
      </c>
      <c r="E314" s="170" t="str">
        <f t="shared" si="9"/>
        <v/>
      </c>
      <c r="F314" s="170"/>
      <c r="G314" s="170"/>
      <c r="H314" s="170"/>
      <c r="I314" s="170"/>
      <c r="J314" s="170"/>
      <c r="K314" s="170"/>
      <c r="L314" s="170"/>
      <c r="M314" s="170"/>
      <c r="N314" s="170"/>
      <c r="O314" s="201"/>
    </row>
    <row r="315" spans="1:15" s="139" customFormat="1" ht="15.75">
      <c r="A315" s="205" t="str">
        <f>IF(ISNA(VLOOKUP(D315,'Standard Smelter Names'!$B$3:$E$153,4,FALSE)),"",VLOOKUP(D315,'Standard Smelter Names'!$B$3:$E$153,4,FALSE))</f>
        <v/>
      </c>
      <c r="B315" s="170"/>
      <c r="C315" s="184"/>
      <c r="D315" s="184" t="str">
        <f t="shared" si="8"/>
        <v/>
      </c>
      <c r="E315" s="170" t="str">
        <f t="shared" si="9"/>
        <v/>
      </c>
      <c r="F315" s="170"/>
      <c r="G315" s="170"/>
      <c r="H315" s="170"/>
      <c r="I315" s="170"/>
      <c r="J315" s="170"/>
      <c r="K315" s="170"/>
      <c r="L315" s="170"/>
      <c r="M315" s="170"/>
      <c r="N315" s="170"/>
      <c r="O315" s="201"/>
    </row>
    <row r="316" spans="1:15" s="139" customFormat="1" ht="15.75">
      <c r="A316" s="205" t="str">
        <f>IF(ISNA(VLOOKUP(D316,'Standard Smelter Names'!$B$3:$E$153,4,FALSE)),"",VLOOKUP(D316,'Standard Smelter Names'!$B$3:$E$153,4,FALSE))</f>
        <v/>
      </c>
      <c r="B316" s="170"/>
      <c r="C316" s="184"/>
      <c r="D316" s="184" t="str">
        <f t="shared" si="8"/>
        <v/>
      </c>
      <c r="E316" s="170" t="str">
        <f t="shared" si="9"/>
        <v/>
      </c>
      <c r="F316" s="170"/>
      <c r="G316" s="170"/>
      <c r="H316" s="170"/>
      <c r="I316" s="170"/>
      <c r="J316" s="170"/>
      <c r="K316" s="170"/>
      <c r="L316" s="170"/>
      <c r="M316" s="170"/>
      <c r="N316" s="170"/>
      <c r="O316" s="201"/>
    </row>
    <row r="317" spans="1:15" s="139" customFormat="1" ht="15.75">
      <c r="A317" s="205" t="str">
        <f>IF(ISNA(VLOOKUP(D317,'Standard Smelter Names'!$B$3:$E$153,4,FALSE)),"",VLOOKUP(D317,'Standard Smelter Names'!$B$3:$E$153,4,FALSE))</f>
        <v/>
      </c>
      <c r="B317" s="170"/>
      <c r="C317" s="184"/>
      <c r="D317" s="184" t="str">
        <f t="shared" si="8"/>
        <v/>
      </c>
      <c r="E317" s="170" t="str">
        <f t="shared" si="9"/>
        <v/>
      </c>
      <c r="F317" s="170"/>
      <c r="G317" s="170"/>
      <c r="H317" s="170"/>
      <c r="I317" s="170"/>
      <c r="J317" s="170"/>
      <c r="K317" s="170"/>
      <c r="L317" s="170"/>
      <c r="M317" s="170"/>
      <c r="N317" s="170"/>
      <c r="O317" s="201"/>
    </row>
    <row r="318" spans="1:15" s="139" customFormat="1" ht="15.75">
      <c r="A318" s="205" t="str">
        <f>IF(ISNA(VLOOKUP(D318,'Standard Smelter Names'!$B$3:$E$153,4,FALSE)),"",VLOOKUP(D318,'Standard Smelter Names'!$B$3:$E$153,4,FALSE))</f>
        <v/>
      </c>
      <c r="B318" s="170"/>
      <c r="C318" s="184"/>
      <c r="D318" s="184" t="str">
        <f t="shared" si="8"/>
        <v/>
      </c>
      <c r="E318" s="170" t="str">
        <f t="shared" si="9"/>
        <v/>
      </c>
      <c r="F318" s="170"/>
      <c r="G318" s="170"/>
      <c r="H318" s="170"/>
      <c r="I318" s="170"/>
      <c r="J318" s="170"/>
      <c r="K318" s="170"/>
      <c r="L318" s="170"/>
      <c r="M318" s="170"/>
      <c r="N318" s="170"/>
      <c r="O318" s="201"/>
    </row>
    <row r="319" spans="1:15" s="139" customFormat="1" ht="15.75">
      <c r="A319" s="205" t="str">
        <f>IF(ISNA(VLOOKUP(D319,'Standard Smelter Names'!$B$3:$E$153,4,FALSE)),"",VLOOKUP(D319,'Standard Smelter Names'!$B$3:$E$153,4,FALSE))</f>
        <v/>
      </c>
      <c r="B319" s="170"/>
      <c r="C319" s="184"/>
      <c r="D319" s="184" t="str">
        <f t="shared" si="8"/>
        <v/>
      </c>
      <c r="E319" s="170" t="str">
        <f t="shared" si="9"/>
        <v/>
      </c>
      <c r="F319" s="170"/>
      <c r="G319" s="170"/>
      <c r="H319" s="170"/>
      <c r="I319" s="170"/>
      <c r="J319" s="170"/>
      <c r="K319" s="170"/>
      <c r="L319" s="170"/>
      <c r="M319" s="170"/>
      <c r="N319" s="170"/>
      <c r="O319" s="201"/>
    </row>
    <row r="320" spans="1:15" s="139" customFormat="1" ht="15.75">
      <c r="A320" s="205" t="str">
        <f>IF(ISNA(VLOOKUP(D320,'Standard Smelter Names'!$B$3:$E$153,4,FALSE)),"",VLOOKUP(D320,'Standard Smelter Names'!$B$3:$E$153,4,FALSE))</f>
        <v/>
      </c>
      <c r="B320" s="170"/>
      <c r="C320" s="184"/>
      <c r="D320" s="184" t="str">
        <f t="shared" si="8"/>
        <v/>
      </c>
      <c r="E320" s="170" t="str">
        <f t="shared" si="9"/>
        <v/>
      </c>
      <c r="F320" s="170"/>
      <c r="G320" s="170"/>
      <c r="H320" s="170"/>
      <c r="I320" s="170"/>
      <c r="J320" s="170"/>
      <c r="K320" s="170"/>
      <c r="L320" s="170"/>
      <c r="M320" s="170"/>
      <c r="N320" s="170"/>
      <c r="O320" s="201"/>
    </row>
    <row r="321" spans="1:15" s="139" customFormat="1" ht="15.75">
      <c r="A321" s="205" t="str">
        <f>IF(ISNA(VLOOKUP(D321,'Standard Smelter Names'!$B$3:$E$153,4,FALSE)),"",VLOOKUP(D321,'Standard Smelter Names'!$B$3:$E$153,4,FALSE))</f>
        <v/>
      </c>
      <c r="B321" s="170"/>
      <c r="C321" s="184"/>
      <c r="D321" s="184" t="str">
        <f t="shared" si="8"/>
        <v/>
      </c>
      <c r="E321" s="170" t="str">
        <f t="shared" si="9"/>
        <v/>
      </c>
      <c r="F321" s="170"/>
      <c r="G321" s="170"/>
      <c r="H321" s="170"/>
      <c r="I321" s="170"/>
      <c r="J321" s="170"/>
      <c r="K321" s="170"/>
      <c r="L321" s="170"/>
      <c r="M321" s="170"/>
      <c r="N321" s="170"/>
      <c r="O321" s="201"/>
    </row>
    <row r="322" spans="1:15" s="139" customFormat="1" ht="15.75">
      <c r="A322" s="205" t="str">
        <f>IF(ISNA(VLOOKUP(D322,'Standard Smelter Names'!$B$3:$E$153,4,FALSE)),"",VLOOKUP(D322,'Standard Smelter Names'!$B$3:$E$153,4,FALSE))</f>
        <v/>
      </c>
      <c r="B322" s="170"/>
      <c r="C322" s="184"/>
      <c r="D322" s="184" t="str">
        <f t="shared" si="8"/>
        <v/>
      </c>
      <c r="E322" s="170" t="str">
        <f t="shared" si="9"/>
        <v/>
      </c>
      <c r="F322" s="170"/>
      <c r="G322" s="170"/>
      <c r="H322" s="170"/>
      <c r="I322" s="170"/>
      <c r="J322" s="170"/>
      <c r="K322" s="170"/>
      <c r="L322" s="170"/>
      <c r="M322" s="170"/>
      <c r="N322" s="170"/>
      <c r="O322" s="201"/>
    </row>
    <row r="323" spans="1:15" s="139" customFormat="1" ht="15.75">
      <c r="A323" s="205" t="str">
        <f>IF(ISNA(VLOOKUP(D323,'Standard Smelter Names'!$B$3:$E$153,4,FALSE)),"",VLOOKUP(D323,'Standard Smelter Names'!$B$3:$E$153,4,FALSE))</f>
        <v/>
      </c>
      <c r="B323" s="170"/>
      <c r="C323" s="184"/>
      <c r="D323" s="184" t="str">
        <f t="shared" si="8"/>
        <v/>
      </c>
      <c r="E323" s="170" t="str">
        <f t="shared" si="9"/>
        <v/>
      </c>
      <c r="F323" s="170"/>
      <c r="G323" s="170"/>
      <c r="H323" s="170"/>
      <c r="I323" s="170"/>
      <c r="J323" s="170"/>
      <c r="K323" s="170"/>
      <c r="L323" s="170"/>
      <c r="M323" s="170"/>
      <c r="N323" s="170"/>
      <c r="O323" s="201"/>
    </row>
    <row r="324" spans="1:15" s="139" customFormat="1" ht="15.75">
      <c r="A324" s="205" t="str">
        <f>IF(ISNA(VLOOKUP(D324,'Standard Smelter Names'!$B$3:$E$153,4,FALSE)),"",VLOOKUP(D324,'Standard Smelter Names'!$B$3:$E$153,4,FALSE))</f>
        <v/>
      </c>
      <c r="B324" s="170"/>
      <c r="C324" s="184"/>
      <c r="D324" s="184" t="str">
        <f t="shared" si="8"/>
        <v/>
      </c>
      <c r="E324" s="170" t="str">
        <f t="shared" si="9"/>
        <v/>
      </c>
      <c r="F324" s="170"/>
      <c r="G324" s="170"/>
      <c r="H324" s="170"/>
      <c r="I324" s="170"/>
      <c r="J324" s="170"/>
      <c r="K324" s="170"/>
      <c r="L324" s="170"/>
      <c r="M324" s="170"/>
      <c r="N324" s="170"/>
      <c r="O324" s="201"/>
    </row>
    <row r="325" spans="1:15" s="139" customFormat="1" ht="15.75">
      <c r="A325" s="205" t="str">
        <f>IF(ISNA(VLOOKUP(D325,'Standard Smelter Names'!$B$3:$E$153,4,FALSE)),"",VLOOKUP(D325,'Standard Smelter Names'!$B$3:$E$153,4,FALSE))</f>
        <v/>
      </c>
      <c r="B325" s="170"/>
      <c r="C325" s="184"/>
      <c r="D325" s="184" t="str">
        <f t="shared" ref="D325:D388" si="10">IF(ISNA(VLOOKUP(C325,$G$1023:$I$1309,3,FALSE)),"",VLOOKUP(C325,$G$1023:$I$1309,3,FALSE))</f>
        <v/>
      </c>
      <c r="E325" s="170" t="str">
        <f t="shared" ref="E325:E388" si="11">IF(ISNA(VLOOKUP(C325,$G$1023:$I$1309,2,FALSE)),"",VLOOKUP(C325,$G$1023:$I$1309,2,FALSE))</f>
        <v/>
      </c>
      <c r="F325" s="170"/>
      <c r="G325" s="170"/>
      <c r="H325" s="170"/>
      <c r="I325" s="170"/>
      <c r="J325" s="170"/>
      <c r="K325" s="170"/>
      <c r="L325" s="170"/>
      <c r="M325" s="170"/>
      <c r="N325" s="170"/>
      <c r="O325" s="201"/>
    </row>
    <row r="326" spans="1:15" s="139" customFormat="1" ht="15.75">
      <c r="A326" s="205" t="str">
        <f>IF(ISNA(VLOOKUP(D326,'Standard Smelter Names'!$B$3:$E$153,4,FALSE)),"",VLOOKUP(D326,'Standard Smelter Names'!$B$3:$E$153,4,FALSE))</f>
        <v/>
      </c>
      <c r="B326" s="170"/>
      <c r="C326" s="184"/>
      <c r="D326" s="184" t="str">
        <f t="shared" si="10"/>
        <v/>
      </c>
      <c r="E326" s="170" t="str">
        <f t="shared" si="11"/>
        <v/>
      </c>
      <c r="F326" s="170"/>
      <c r="G326" s="170"/>
      <c r="H326" s="170"/>
      <c r="I326" s="170"/>
      <c r="J326" s="170"/>
      <c r="K326" s="170"/>
      <c r="L326" s="170"/>
      <c r="M326" s="170"/>
      <c r="N326" s="170"/>
      <c r="O326" s="201"/>
    </row>
    <row r="327" spans="1:15" s="139" customFormat="1" ht="15.75">
      <c r="A327" s="205" t="str">
        <f>IF(ISNA(VLOOKUP(D327,'Standard Smelter Names'!$B$3:$E$153,4,FALSE)),"",VLOOKUP(D327,'Standard Smelter Names'!$B$3:$E$153,4,FALSE))</f>
        <v/>
      </c>
      <c r="B327" s="170"/>
      <c r="C327" s="184"/>
      <c r="D327" s="184" t="str">
        <f t="shared" si="10"/>
        <v/>
      </c>
      <c r="E327" s="170" t="str">
        <f t="shared" si="11"/>
        <v/>
      </c>
      <c r="F327" s="170"/>
      <c r="G327" s="170"/>
      <c r="H327" s="170"/>
      <c r="I327" s="170"/>
      <c r="J327" s="170"/>
      <c r="K327" s="170"/>
      <c r="L327" s="170"/>
      <c r="M327" s="170"/>
      <c r="N327" s="170"/>
      <c r="O327" s="201"/>
    </row>
    <row r="328" spans="1:15" s="139" customFormat="1" ht="15.75">
      <c r="A328" s="205" t="str">
        <f>IF(ISNA(VLOOKUP(D328,'Standard Smelter Names'!$B$3:$E$153,4,FALSE)),"",VLOOKUP(D328,'Standard Smelter Names'!$B$3:$E$153,4,FALSE))</f>
        <v/>
      </c>
      <c r="B328" s="170"/>
      <c r="C328" s="184"/>
      <c r="D328" s="184" t="str">
        <f t="shared" si="10"/>
        <v/>
      </c>
      <c r="E328" s="170" t="str">
        <f t="shared" si="11"/>
        <v/>
      </c>
      <c r="F328" s="170"/>
      <c r="G328" s="170"/>
      <c r="H328" s="170"/>
      <c r="I328" s="170"/>
      <c r="J328" s="170"/>
      <c r="K328" s="170"/>
      <c r="L328" s="170"/>
      <c r="M328" s="170"/>
      <c r="N328" s="170"/>
      <c r="O328" s="201"/>
    </row>
    <row r="329" spans="1:15" s="139" customFormat="1" ht="15.75">
      <c r="A329" s="205" t="str">
        <f>IF(ISNA(VLOOKUP(D329,'Standard Smelter Names'!$B$3:$E$153,4,FALSE)),"",VLOOKUP(D329,'Standard Smelter Names'!$B$3:$E$153,4,FALSE))</f>
        <v/>
      </c>
      <c r="B329" s="170"/>
      <c r="C329" s="184"/>
      <c r="D329" s="184" t="str">
        <f t="shared" si="10"/>
        <v/>
      </c>
      <c r="E329" s="170" t="str">
        <f t="shared" si="11"/>
        <v/>
      </c>
      <c r="F329" s="170"/>
      <c r="G329" s="170"/>
      <c r="H329" s="170"/>
      <c r="I329" s="170"/>
      <c r="J329" s="170"/>
      <c r="K329" s="170"/>
      <c r="L329" s="170"/>
      <c r="M329" s="170"/>
      <c r="N329" s="170"/>
      <c r="O329" s="201"/>
    </row>
    <row r="330" spans="1:15" s="139" customFormat="1" ht="15.75">
      <c r="A330" s="205" t="str">
        <f>IF(ISNA(VLOOKUP(D330,'Standard Smelter Names'!$B$3:$E$153,4,FALSE)),"",VLOOKUP(D330,'Standard Smelter Names'!$B$3:$E$153,4,FALSE))</f>
        <v/>
      </c>
      <c r="B330" s="170"/>
      <c r="C330" s="184"/>
      <c r="D330" s="184" t="str">
        <f t="shared" si="10"/>
        <v/>
      </c>
      <c r="E330" s="170" t="str">
        <f t="shared" si="11"/>
        <v/>
      </c>
      <c r="F330" s="170"/>
      <c r="G330" s="170"/>
      <c r="H330" s="170"/>
      <c r="I330" s="170"/>
      <c r="J330" s="170"/>
      <c r="K330" s="170"/>
      <c r="L330" s="170"/>
      <c r="M330" s="170"/>
      <c r="N330" s="170"/>
      <c r="O330" s="201"/>
    </row>
    <row r="331" spans="1:15" s="139" customFormat="1" ht="15.75">
      <c r="A331" s="205" t="str">
        <f>IF(ISNA(VLOOKUP(D331,'Standard Smelter Names'!$B$3:$E$153,4,FALSE)),"",VLOOKUP(D331,'Standard Smelter Names'!$B$3:$E$153,4,FALSE))</f>
        <v/>
      </c>
      <c r="B331" s="170"/>
      <c r="C331" s="184"/>
      <c r="D331" s="184" t="str">
        <f t="shared" si="10"/>
        <v/>
      </c>
      <c r="E331" s="170" t="str">
        <f t="shared" si="11"/>
        <v/>
      </c>
      <c r="F331" s="170"/>
      <c r="G331" s="170"/>
      <c r="H331" s="170"/>
      <c r="I331" s="170"/>
      <c r="J331" s="170"/>
      <c r="K331" s="170"/>
      <c r="L331" s="170"/>
      <c r="M331" s="170"/>
      <c r="N331" s="170"/>
      <c r="O331" s="201"/>
    </row>
    <row r="332" spans="1:15" s="139" customFormat="1" ht="15.75">
      <c r="A332" s="205" t="str">
        <f>IF(ISNA(VLOOKUP(D332,'Standard Smelter Names'!$B$3:$E$153,4,FALSE)),"",VLOOKUP(D332,'Standard Smelter Names'!$B$3:$E$153,4,FALSE))</f>
        <v/>
      </c>
      <c r="B332" s="170"/>
      <c r="C332" s="184"/>
      <c r="D332" s="184" t="str">
        <f t="shared" si="10"/>
        <v/>
      </c>
      <c r="E332" s="170" t="str">
        <f t="shared" si="11"/>
        <v/>
      </c>
      <c r="F332" s="170"/>
      <c r="G332" s="170"/>
      <c r="H332" s="170"/>
      <c r="I332" s="170"/>
      <c r="J332" s="170"/>
      <c r="K332" s="170"/>
      <c r="L332" s="170"/>
      <c r="M332" s="170"/>
      <c r="N332" s="170"/>
      <c r="O332" s="201"/>
    </row>
    <row r="333" spans="1:15" s="139" customFormat="1" ht="15.75">
      <c r="A333" s="205" t="str">
        <f>IF(ISNA(VLOOKUP(D333,'Standard Smelter Names'!$B$3:$E$153,4,FALSE)),"",VLOOKUP(D333,'Standard Smelter Names'!$B$3:$E$153,4,FALSE))</f>
        <v/>
      </c>
      <c r="B333" s="170"/>
      <c r="C333" s="184"/>
      <c r="D333" s="184" t="str">
        <f t="shared" si="10"/>
        <v/>
      </c>
      <c r="E333" s="170" t="str">
        <f t="shared" si="11"/>
        <v/>
      </c>
      <c r="F333" s="170"/>
      <c r="G333" s="170"/>
      <c r="H333" s="170"/>
      <c r="I333" s="170"/>
      <c r="J333" s="170"/>
      <c r="K333" s="170"/>
      <c r="L333" s="170"/>
      <c r="M333" s="170"/>
      <c r="N333" s="170"/>
      <c r="O333" s="201"/>
    </row>
    <row r="334" spans="1:15" s="139" customFormat="1" ht="15.75">
      <c r="A334" s="205" t="str">
        <f>IF(ISNA(VLOOKUP(D334,'Standard Smelter Names'!$B$3:$E$153,4,FALSE)),"",VLOOKUP(D334,'Standard Smelter Names'!$B$3:$E$153,4,FALSE))</f>
        <v/>
      </c>
      <c r="B334" s="170"/>
      <c r="C334" s="184"/>
      <c r="D334" s="184" t="str">
        <f t="shared" si="10"/>
        <v/>
      </c>
      <c r="E334" s="170" t="str">
        <f t="shared" si="11"/>
        <v/>
      </c>
      <c r="F334" s="170"/>
      <c r="G334" s="170"/>
      <c r="H334" s="170"/>
      <c r="I334" s="170"/>
      <c r="J334" s="170"/>
      <c r="K334" s="170"/>
      <c r="L334" s="170"/>
      <c r="M334" s="170"/>
      <c r="N334" s="170"/>
      <c r="O334" s="201"/>
    </row>
    <row r="335" spans="1:15" s="139" customFormat="1" ht="15.75">
      <c r="A335" s="205" t="str">
        <f>IF(ISNA(VLOOKUP(D335,'Standard Smelter Names'!$B$3:$E$153,4,FALSE)),"",VLOOKUP(D335,'Standard Smelter Names'!$B$3:$E$153,4,FALSE))</f>
        <v/>
      </c>
      <c r="B335" s="170"/>
      <c r="C335" s="184"/>
      <c r="D335" s="184" t="str">
        <f t="shared" si="10"/>
        <v/>
      </c>
      <c r="E335" s="170" t="str">
        <f t="shared" si="11"/>
        <v/>
      </c>
      <c r="F335" s="170"/>
      <c r="G335" s="170"/>
      <c r="H335" s="170"/>
      <c r="I335" s="170"/>
      <c r="J335" s="170"/>
      <c r="K335" s="170"/>
      <c r="L335" s="170"/>
      <c r="M335" s="170"/>
      <c r="N335" s="170"/>
      <c r="O335" s="201"/>
    </row>
    <row r="336" spans="1:15" s="139" customFormat="1" ht="15.75">
      <c r="A336" s="205" t="str">
        <f>IF(ISNA(VLOOKUP(D336,'Standard Smelter Names'!$B$3:$E$153,4,FALSE)),"",VLOOKUP(D336,'Standard Smelter Names'!$B$3:$E$153,4,FALSE))</f>
        <v/>
      </c>
      <c r="B336" s="170"/>
      <c r="C336" s="184"/>
      <c r="D336" s="184" t="str">
        <f t="shared" si="10"/>
        <v/>
      </c>
      <c r="E336" s="170" t="str">
        <f t="shared" si="11"/>
        <v/>
      </c>
      <c r="F336" s="170"/>
      <c r="G336" s="170"/>
      <c r="H336" s="170"/>
      <c r="I336" s="170"/>
      <c r="J336" s="170"/>
      <c r="K336" s="170"/>
      <c r="L336" s="170"/>
      <c r="M336" s="170"/>
      <c r="N336" s="170"/>
      <c r="O336" s="201"/>
    </row>
    <row r="337" spans="1:15" s="139" customFormat="1" ht="15.75">
      <c r="A337" s="205" t="str">
        <f>IF(ISNA(VLOOKUP(D337,'Standard Smelter Names'!$B$3:$E$153,4,FALSE)),"",VLOOKUP(D337,'Standard Smelter Names'!$B$3:$E$153,4,FALSE))</f>
        <v/>
      </c>
      <c r="B337" s="170"/>
      <c r="C337" s="184"/>
      <c r="D337" s="184" t="str">
        <f t="shared" si="10"/>
        <v/>
      </c>
      <c r="E337" s="170" t="str">
        <f t="shared" si="11"/>
        <v/>
      </c>
      <c r="F337" s="170"/>
      <c r="G337" s="170"/>
      <c r="H337" s="170"/>
      <c r="I337" s="170"/>
      <c r="J337" s="170"/>
      <c r="K337" s="170"/>
      <c r="L337" s="170"/>
      <c r="M337" s="170"/>
      <c r="N337" s="170"/>
      <c r="O337" s="201"/>
    </row>
    <row r="338" spans="1:15" s="139" customFormat="1" ht="15.75">
      <c r="A338" s="205" t="str">
        <f>IF(ISNA(VLOOKUP(D338,'Standard Smelter Names'!$B$3:$E$153,4,FALSE)),"",VLOOKUP(D338,'Standard Smelter Names'!$B$3:$E$153,4,FALSE))</f>
        <v/>
      </c>
      <c r="B338" s="170"/>
      <c r="C338" s="184"/>
      <c r="D338" s="184" t="str">
        <f t="shared" si="10"/>
        <v/>
      </c>
      <c r="E338" s="170" t="str">
        <f t="shared" si="11"/>
        <v/>
      </c>
      <c r="F338" s="170"/>
      <c r="G338" s="170"/>
      <c r="H338" s="170"/>
      <c r="I338" s="170"/>
      <c r="J338" s="170"/>
      <c r="K338" s="170"/>
      <c r="L338" s="170"/>
      <c r="M338" s="170"/>
      <c r="N338" s="170"/>
      <c r="O338" s="201"/>
    </row>
    <row r="339" spans="1:15" s="139" customFormat="1" ht="15.75">
      <c r="A339" s="205" t="str">
        <f>IF(ISNA(VLOOKUP(D339,'Standard Smelter Names'!$B$3:$E$153,4,FALSE)),"",VLOOKUP(D339,'Standard Smelter Names'!$B$3:$E$153,4,FALSE))</f>
        <v/>
      </c>
      <c r="B339" s="170"/>
      <c r="C339" s="184"/>
      <c r="D339" s="184" t="str">
        <f t="shared" si="10"/>
        <v/>
      </c>
      <c r="E339" s="170" t="str">
        <f t="shared" si="11"/>
        <v/>
      </c>
      <c r="F339" s="170"/>
      <c r="G339" s="170"/>
      <c r="H339" s="170"/>
      <c r="I339" s="170"/>
      <c r="J339" s="170"/>
      <c r="K339" s="170"/>
      <c r="L339" s="170"/>
      <c r="M339" s="170"/>
      <c r="N339" s="170"/>
      <c r="O339" s="201"/>
    </row>
    <row r="340" spans="1:15" s="139" customFormat="1" ht="15.75">
      <c r="A340" s="205" t="str">
        <f>IF(ISNA(VLOOKUP(D340,'Standard Smelter Names'!$B$3:$E$153,4,FALSE)),"",VLOOKUP(D340,'Standard Smelter Names'!$B$3:$E$153,4,FALSE))</f>
        <v/>
      </c>
      <c r="B340" s="170"/>
      <c r="C340" s="184"/>
      <c r="D340" s="184" t="str">
        <f t="shared" si="10"/>
        <v/>
      </c>
      <c r="E340" s="170" t="str">
        <f t="shared" si="11"/>
        <v/>
      </c>
      <c r="F340" s="170"/>
      <c r="G340" s="170"/>
      <c r="H340" s="170"/>
      <c r="I340" s="170"/>
      <c r="J340" s="170"/>
      <c r="K340" s="170"/>
      <c r="L340" s="170"/>
      <c r="M340" s="170"/>
      <c r="N340" s="170"/>
      <c r="O340" s="201"/>
    </row>
    <row r="341" spans="1:15" s="139" customFormat="1" ht="15.75">
      <c r="A341" s="205" t="str">
        <f>IF(ISNA(VLOOKUP(D341,'Standard Smelter Names'!$B$3:$E$153,4,FALSE)),"",VLOOKUP(D341,'Standard Smelter Names'!$B$3:$E$153,4,FALSE))</f>
        <v/>
      </c>
      <c r="B341" s="170"/>
      <c r="C341" s="184"/>
      <c r="D341" s="184" t="str">
        <f t="shared" si="10"/>
        <v/>
      </c>
      <c r="E341" s="170" t="str">
        <f t="shared" si="11"/>
        <v/>
      </c>
      <c r="F341" s="170"/>
      <c r="G341" s="170"/>
      <c r="H341" s="170"/>
      <c r="I341" s="170"/>
      <c r="J341" s="170"/>
      <c r="K341" s="170"/>
      <c r="L341" s="170"/>
      <c r="M341" s="170"/>
      <c r="N341" s="170"/>
      <c r="O341" s="201"/>
    </row>
    <row r="342" spans="1:15" s="139" customFormat="1" ht="15.75">
      <c r="A342" s="205" t="str">
        <f>IF(ISNA(VLOOKUP(D342,'Standard Smelter Names'!$B$3:$E$153,4,FALSE)),"",VLOOKUP(D342,'Standard Smelter Names'!$B$3:$E$153,4,FALSE))</f>
        <v/>
      </c>
      <c r="B342" s="170"/>
      <c r="C342" s="184"/>
      <c r="D342" s="184" t="str">
        <f t="shared" si="10"/>
        <v/>
      </c>
      <c r="E342" s="170" t="str">
        <f t="shared" si="11"/>
        <v/>
      </c>
      <c r="F342" s="170"/>
      <c r="G342" s="170"/>
      <c r="H342" s="170"/>
      <c r="I342" s="170"/>
      <c r="J342" s="170"/>
      <c r="K342" s="170"/>
      <c r="L342" s="170"/>
      <c r="M342" s="170"/>
      <c r="N342" s="170"/>
      <c r="O342" s="201"/>
    </row>
    <row r="343" spans="1:15" s="139" customFormat="1" ht="15.75">
      <c r="A343" s="205" t="str">
        <f>IF(ISNA(VLOOKUP(D343,'Standard Smelter Names'!$B$3:$E$153,4,FALSE)),"",VLOOKUP(D343,'Standard Smelter Names'!$B$3:$E$153,4,FALSE))</f>
        <v/>
      </c>
      <c r="B343" s="170"/>
      <c r="C343" s="184"/>
      <c r="D343" s="184" t="str">
        <f t="shared" si="10"/>
        <v/>
      </c>
      <c r="E343" s="170" t="str">
        <f t="shared" si="11"/>
        <v/>
      </c>
      <c r="F343" s="170"/>
      <c r="G343" s="170"/>
      <c r="H343" s="170"/>
      <c r="I343" s="170"/>
      <c r="J343" s="170"/>
      <c r="K343" s="170"/>
      <c r="L343" s="170"/>
      <c r="M343" s="170"/>
      <c r="N343" s="170"/>
      <c r="O343" s="201"/>
    </row>
    <row r="344" spans="1:15" s="139" customFormat="1" ht="15.75">
      <c r="A344" s="205" t="str">
        <f>IF(ISNA(VLOOKUP(D344,'Standard Smelter Names'!$B$3:$E$153,4,FALSE)),"",VLOOKUP(D344,'Standard Smelter Names'!$B$3:$E$153,4,FALSE))</f>
        <v/>
      </c>
      <c r="B344" s="170"/>
      <c r="C344" s="184"/>
      <c r="D344" s="184" t="str">
        <f t="shared" si="10"/>
        <v/>
      </c>
      <c r="E344" s="170" t="str">
        <f t="shared" si="11"/>
        <v/>
      </c>
      <c r="F344" s="170"/>
      <c r="G344" s="170"/>
      <c r="H344" s="170"/>
      <c r="I344" s="170"/>
      <c r="J344" s="170"/>
      <c r="K344" s="170"/>
      <c r="L344" s="170"/>
      <c r="M344" s="170"/>
      <c r="N344" s="170"/>
      <c r="O344" s="201"/>
    </row>
    <row r="345" spans="1:15" s="139" customFormat="1" ht="15.75">
      <c r="A345" s="205" t="str">
        <f>IF(ISNA(VLOOKUP(D345,'Standard Smelter Names'!$B$3:$E$153,4,FALSE)),"",VLOOKUP(D345,'Standard Smelter Names'!$B$3:$E$153,4,FALSE))</f>
        <v/>
      </c>
      <c r="B345" s="170"/>
      <c r="C345" s="184"/>
      <c r="D345" s="184" t="str">
        <f t="shared" si="10"/>
        <v/>
      </c>
      <c r="E345" s="170" t="str">
        <f t="shared" si="11"/>
        <v/>
      </c>
      <c r="F345" s="170"/>
      <c r="G345" s="170"/>
      <c r="H345" s="170"/>
      <c r="I345" s="170"/>
      <c r="J345" s="170"/>
      <c r="K345" s="170"/>
      <c r="L345" s="170"/>
      <c r="M345" s="170"/>
      <c r="N345" s="170"/>
      <c r="O345" s="201"/>
    </row>
    <row r="346" spans="1:15" s="139" customFormat="1" ht="15.75">
      <c r="A346" s="205" t="str">
        <f>IF(ISNA(VLOOKUP(D346,'Standard Smelter Names'!$B$3:$E$153,4,FALSE)),"",VLOOKUP(D346,'Standard Smelter Names'!$B$3:$E$153,4,FALSE))</f>
        <v/>
      </c>
      <c r="B346" s="170"/>
      <c r="C346" s="184"/>
      <c r="D346" s="184" t="str">
        <f t="shared" si="10"/>
        <v/>
      </c>
      <c r="E346" s="170" t="str">
        <f t="shared" si="11"/>
        <v/>
      </c>
      <c r="F346" s="170"/>
      <c r="G346" s="170"/>
      <c r="H346" s="170"/>
      <c r="I346" s="170"/>
      <c r="J346" s="170"/>
      <c r="K346" s="170"/>
      <c r="L346" s="170"/>
      <c r="M346" s="170"/>
      <c r="N346" s="170"/>
      <c r="O346" s="201"/>
    </row>
    <row r="347" spans="1:15" s="139" customFormat="1" ht="15.75">
      <c r="A347" s="205" t="str">
        <f>IF(ISNA(VLOOKUP(D347,'Standard Smelter Names'!$B$3:$E$153,4,FALSE)),"",VLOOKUP(D347,'Standard Smelter Names'!$B$3:$E$153,4,FALSE))</f>
        <v/>
      </c>
      <c r="B347" s="170"/>
      <c r="C347" s="184"/>
      <c r="D347" s="184" t="str">
        <f t="shared" si="10"/>
        <v/>
      </c>
      <c r="E347" s="170" t="str">
        <f t="shared" si="11"/>
        <v/>
      </c>
      <c r="F347" s="170"/>
      <c r="G347" s="170"/>
      <c r="H347" s="170"/>
      <c r="I347" s="170"/>
      <c r="J347" s="170"/>
      <c r="K347" s="170"/>
      <c r="L347" s="170"/>
      <c r="M347" s="170"/>
      <c r="N347" s="170"/>
      <c r="O347" s="201"/>
    </row>
    <row r="348" spans="1:15" s="139" customFormat="1" ht="15.75">
      <c r="A348" s="205" t="str">
        <f>IF(ISNA(VLOOKUP(D348,'Standard Smelter Names'!$B$3:$E$153,4,FALSE)),"",VLOOKUP(D348,'Standard Smelter Names'!$B$3:$E$153,4,FALSE))</f>
        <v/>
      </c>
      <c r="B348" s="170"/>
      <c r="C348" s="184"/>
      <c r="D348" s="184" t="str">
        <f t="shared" si="10"/>
        <v/>
      </c>
      <c r="E348" s="170" t="str">
        <f t="shared" si="11"/>
        <v/>
      </c>
      <c r="F348" s="170"/>
      <c r="G348" s="170"/>
      <c r="H348" s="170"/>
      <c r="I348" s="170"/>
      <c r="J348" s="170"/>
      <c r="K348" s="170"/>
      <c r="L348" s="170"/>
      <c r="M348" s="170"/>
      <c r="N348" s="170"/>
      <c r="O348" s="201"/>
    </row>
    <row r="349" spans="1:15" s="139" customFormat="1" ht="15.75">
      <c r="A349" s="205" t="str">
        <f>IF(ISNA(VLOOKUP(D349,'Standard Smelter Names'!$B$3:$E$153,4,FALSE)),"",VLOOKUP(D349,'Standard Smelter Names'!$B$3:$E$153,4,FALSE))</f>
        <v/>
      </c>
      <c r="B349" s="170"/>
      <c r="C349" s="184"/>
      <c r="D349" s="184" t="str">
        <f t="shared" si="10"/>
        <v/>
      </c>
      <c r="E349" s="170" t="str">
        <f t="shared" si="11"/>
        <v/>
      </c>
      <c r="F349" s="170"/>
      <c r="G349" s="170"/>
      <c r="H349" s="170"/>
      <c r="I349" s="170"/>
      <c r="J349" s="170"/>
      <c r="K349" s="170"/>
      <c r="L349" s="170"/>
      <c r="M349" s="170"/>
      <c r="N349" s="170"/>
      <c r="O349" s="201"/>
    </row>
    <row r="350" spans="1:15" s="139" customFormat="1" ht="15.75">
      <c r="A350" s="205" t="str">
        <f>IF(ISNA(VLOOKUP(D350,'Standard Smelter Names'!$B$3:$E$153,4,FALSE)),"",VLOOKUP(D350,'Standard Smelter Names'!$B$3:$E$153,4,FALSE))</f>
        <v/>
      </c>
      <c r="B350" s="170"/>
      <c r="C350" s="184"/>
      <c r="D350" s="184" t="str">
        <f t="shared" si="10"/>
        <v/>
      </c>
      <c r="E350" s="170" t="str">
        <f t="shared" si="11"/>
        <v/>
      </c>
      <c r="F350" s="170"/>
      <c r="G350" s="170"/>
      <c r="H350" s="170"/>
      <c r="I350" s="170"/>
      <c r="J350" s="170"/>
      <c r="K350" s="170"/>
      <c r="L350" s="170"/>
      <c r="M350" s="170"/>
      <c r="N350" s="170"/>
      <c r="O350" s="201"/>
    </row>
    <row r="351" spans="1:15" s="139" customFormat="1" ht="15.75">
      <c r="A351" s="205" t="str">
        <f>IF(ISNA(VLOOKUP(D351,'Standard Smelter Names'!$B$3:$E$153,4,FALSE)),"",VLOOKUP(D351,'Standard Smelter Names'!$B$3:$E$153,4,FALSE))</f>
        <v/>
      </c>
      <c r="B351" s="170"/>
      <c r="C351" s="184"/>
      <c r="D351" s="184" t="str">
        <f t="shared" si="10"/>
        <v/>
      </c>
      <c r="E351" s="170" t="str">
        <f t="shared" si="11"/>
        <v/>
      </c>
      <c r="F351" s="170"/>
      <c r="G351" s="170"/>
      <c r="H351" s="170"/>
      <c r="I351" s="170"/>
      <c r="J351" s="170"/>
      <c r="K351" s="170"/>
      <c r="L351" s="170"/>
      <c r="M351" s="170"/>
      <c r="N351" s="170"/>
      <c r="O351" s="201"/>
    </row>
    <row r="352" spans="1:15" s="139" customFormat="1" ht="15.75">
      <c r="A352" s="205" t="str">
        <f>IF(ISNA(VLOOKUP(D352,'Standard Smelter Names'!$B$3:$E$153,4,FALSE)),"",VLOOKUP(D352,'Standard Smelter Names'!$B$3:$E$153,4,FALSE))</f>
        <v/>
      </c>
      <c r="B352" s="170"/>
      <c r="C352" s="184"/>
      <c r="D352" s="184" t="str">
        <f t="shared" si="10"/>
        <v/>
      </c>
      <c r="E352" s="170" t="str">
        <f t="shared" si="11"/>
        <v/>
      </c>
      <c r="F352" s="170"/>
      <c r="G352" s="170"/>
      <c r="H352" s="170"/>
      <c r="I352" s="170"/>
      <c r="J352" s="170"/>
      <c r="K352" s="170"/>
      <c r="L352" s="170"/>
      <c r="M352" s="170"/>
      <c r="N352" s="170"/>
      <c r="O352" s="201"/>
    </row>
    <row r="353" spans="1:15" s="139" customFormat="1" ht="15.75">
      <c r="A353" s="205" t="str">
        <f>IF(ISNA(VLOOKUP(D353,'Standard Smelter Names'!$B$3:$E$153,4,FALSE)),"",VLOOKUP(D353,'Standard Smelter Names'!$B$3:$E$153,4,FALSE))</f>
        <v/>
      </c>
      <c r="B353" s="170"/>
      <c r="C353" s="184"/>
      <c r="D353" s="184" t="str">
        <f t="shared" si="10"/>
        <v/>
      </c>
      <c r="E353" s="170" t="str">
        <f t="shared" si="11"/>
        <v/>
      </c>
      <c r="F353" s="170"/>
      <c r="G353" s="170"/>
      <c r="H353" s="170"/>
      <c r="I353" s="170"/>
      <c r="J353" s="170"/>
      <c r="K353" s="170"/>
      <c r="L353" s="170"/>
      <c r="M353" s="170"/>
      <c r="N353" s="170"/>
      <c r="O353" s="201"/>
    </row>
    <row r="354" spans="1:15" s="139" customFormat="1" ht="15.75">
      <c r="A354" s="205" t="str">
        <f>IF(ISNA(VLOOKUP(D354,'Standard Smelter Names'!$B$3:$E$153,4,FALSE)),"",VLOOKUP(D354,'Standard Smelter Names'!$B$3:$E$153,4,FALSE))</f>
        <v/>
      </c>
      <c r="B354" s="170"/>
      <c r="C354" s="184"/>
      <c r="D354" s="184" t="str">
        <f t="shared" si="10"/>
        <v/>
      </c>
      <c r="E354" s="170" t="str">
        <f t="shared" si="11"/>
        <v/>
      </c>
      <c r="F354" s="170"/>
      <c r="G354" s="170"/>
      <c r="H354" s="170"/>
      <c r="I354" s="170"/>
      <c r="J354" s="170"/>
      <c r="K354" s="170"/>
      <c r="L354" s="170"/>
      <c r="M354" s="170"/>
      <c r="N354" s="170"/>
      <c r="O354" s="201"/>
    </row>
    <row r="355" spans="1:15" s="139" customFormat="1" ht="15.75">
      <c r="A355" s="205" t="str">
        <f>IF(ISNA(VLOOKUP(D355,'Standard Smelter Names'!$B$3:$E$153,4,FALSE)),"",VLOOKUP(D355,'Standard Smelter Names'!$B$3:$E$153,4,FALSE))</f>
        <v/>
      </c>
      <c r="B355" s="170"/>
      <c r="C355" s="184"/>
      <c r="D355" s="184" t="str">
        <f t="shared" si="10"/>
        <v/>
      </c>
      <c r="E355" s="170" t="str">
        <f t="shared" si="11"/>
        <v/>
      </c>
      <c r="F355" s="170"/>
      <c r="G355" s="170"/>
      <c r="H355" s="170"/>
      <c r="I355" s="170"/>
      <c r="J355" s="170"/>
      <c r="K355" s="170"/>
      <c r="L355" s="170"/>
      <c r="M355" s="170"/>
      <c r="N355" s="170"/>
      <c r="O355" s="201"/>
    </row>
    <row r="356" spans="1:15" s="139" customFormat="1" ht="15.75">
      <c r="A356" s="205" t="str">
        <f>IF(ISNA(VLOOKUP(D356,'Standard Smelter Names'!$B$3:$E$153,4,FALSE)),"",VLOOKUP(D356,'Standard Smelter Names'!$B$3:$E$153,4,FALSE))</f>
        <v/>
      </c>
      <c r="B356" s="170"/>
      <c r="C356" s="184"/>
      <c r="D356" s="184" t="str">
        <f t="shared" si="10"/>
        <v/>
      </c>
      <c r="E356" s="170" t="str">
        <f t="shared" si="11"/>
        <v/>
      </c>
      <c r="F356" s="170"/>
      <c r="G356" s="170"/>
      <c r="H356" s="170"/>
      <c r="I356" s="170"/>
      <c r="J356" s="170"/>
      <c r="K356" s="170"/>
      <c r="L356" s="170"/>
      <c r="M356" s="170"/>
      <c r="N356" s="170"/>
      <c r="O356" s="201"/>
    </row>
    <row r="357" spans="1:15" s="139" customFormat="1" ht="15.75">
      <c r="A357" s="205" t="str">
        <f>IF(ISNA(VLOOKUP(D357,'Standard Smelter Names'!$B$3:$E$153,4,FALSE)),"",VLOOKUP(D357,'Standard Smelter Names'!$B$3:$E$153,4,FALSE))</f>
        <v/>
      </c>
      <c r="B357" s="170"/>
      <c r="C357" s="184"/>
      <c r="D357" s="184" t="str">
        <f t="shared" si="10"/>
        <v/>
      </c>
      <c r="E357" s="170" t="str">
        <f t="shared" si="11"/>
        <v/>
      </c>
      <c r="F357" s="170"/>
      <c r="G357" s="170"/>
      <c r="H357" s="170"/>
      <c r="I357" s="170"/>
      <c r="J357" s="170"/>
      <c r="K357" s="170"/>
      <c r="L357" s="170"/>
      <c r="M357" s="170"/>
      <c r="N357" s="170"/>
      <c r="O357" s="201"/>
    </row>
    <row r="358" spans="1:15" s="139" customFormat="1" ht="15.75">
      <c r="A358" s="205" t="str">
        <f>IF(ISNA(VLOOKUP(D358,'Standard Smelter Names'!$B$3:$E$153,4,FALSE)),"",VLOOKUP(D358,'Standard Smelter Names'!$B$3:$E$153,4,FALSE))</f>
        <v/>
      </c>
      <c r="B358" s="170"/>
      <c r="C358" s="184"/>
      <c r="D358" s="184" t="str">
        <f t="shared" si="10"/>
        <v/>
      </c>
      <c r="E358" s="170" t="str">
        <f t="shared" si="11"/>
        <v/>
      </c>
      <c r="F358" s="170"/>
      <c r="G358" s="170"/>
      <c r="H358" s="170"/>
      <c r="I358" s="170"/>
      <c r="J358" s="170"/>
      <c r="K358" s="170"/>
      <c r="L358" s="170"/>
      <c r="M358" s="170"/>
      <c r="N358" s="170"/>
      <c r="O358" s="201"/>
    </row>
    <row r="359" spans="1:15" s="139" customFormat="1" ht="15.75">
      <c r="A359" s="205" t="str">
        <f>IF(ISNA(VLOOKUP(D359,'Standard Smelter Names'!$B$3:$E$153,4,FALSE)),"",VLOOKUP(D359,'Standard Smelter Names'!$B$3:$E$153,4,FALSE))</f>
        <v/>
      </c>
      <c r="B359" s="170"/>
      <c r="C359" s="184"/>
      <c r="D359" s="184" t="str">
        <f t="shared" si="10"/>
        <v/>
      </c>
      <c r="E359" s="170" t="str">
        <f t="shared" si="11"/>
        <v/>
      </c>
      <c r="F359" s="170"/>
      <c r="G359" s="170"/>
      <c r="H359" s="170"/>
      <c r="I359" s="170"/>
      <c r="J359" s="170"/>
      <c r="K359" s="170"/>
      <c r="L359" s="170"/>
      <c r="M359" s="170"/>
      <c r="N359" s="170"/>
      <c r="O359" s="201"/>
    </row>
    <row r="360" spans="1:15" s="139" customFormat="1" ht="15.75">
      <c r="A360" s="205" t="str">
        <f>IF(ISNA(VLOOKUP(D360,'Standard Smelter Names'!$B$3:$E$153,4,FALSE)),"",VLOOKUP(D360,'Standard Smelter Names'!$B$3:$E$153,4,FALSE))</f>
        <v/>
      </c>
      <c r="B360" s="170"/>
      <c r="C360" s="184"/>
      <c r="D360" s="184" t="str">
        <f t="shared" si="10"/>
        <v/>
      </c>
      <c r="E360" s="170" t="str">
        <f t="shared" si="11"/>
        <v/>
      </c>
      <c r="F360" s="170"/>
      <c r="G360" s="170"/>
      <c r="H360" s="170"/>
      <c r="I360" s="170"/>
      <c r="J360" s="170"/>
      <c r="K360" s="170"/>
      <c r="L360" s="170"/>
      <c r="M360" s="170"/>
      <c r="N360" s="170"/>
      <c r="O360" s="201"/>
    </row>
    <row r="361" spans="1:15" s="139" customFormat="1" ht="15.75">
      <c r="A361" s="205" t="str">
        <f>IF(ISNA(VLOOKUP(D361,'Standard Smelter Names'!$B$3:$E$153,4,FALSE)),"",VLOOKUP(D361,'Standard Smelter Names'!$B$3:$E$153,4,FALSE))</f>
        <v/>
      </c>
      <c r="B361" s="170"/>
      <c r="C361" s="184"/>
      <c r="D361" s="184" t="str">
        <f t="shared" si="10"/>
        <v/>
      </c>
      <c r="E361" s="170" t="str">
        <f t="shared" si="11"/>
        <v/>
      </c>
      <c r="F361" s="170"/>
      <c r="G361" s="170"/>
      <c r="H361" s="170"/>
      <c r="I361" s="170"/>
      <c r="J361" s="170"/>
      <c r="K361" s="170"/>
      <c r="L361" s="170"/>
      <c r="M361" s="170"/>
      <c r="N361" s="170"/>
      <c r="O361" s="201"/>
    </row>
    <row r="362" spans="1:15" s="139" customFormat="1" ht="15.75">
      <c r="A362" s="205" t="str">
        <f>IF(ISNA(VLOOKUP(D362,'Standard Smelter Names'!$B$3:$E$153,4,FALSE)),"",VLOOKUP(D362,'Standard Smelter Names'!$B$3:$E$153,4,FALSE))</f>
        <v/>
      </c>
      <c r="B362" s="170"/>
      <c r="C362" s="184"/>
      <c r="D362" s="184" t="str">
        <f t="shared" si="10"/>
        <v/>
      </c>
      <c r="E362" s="170" t="str">
        <f t="shared" si="11"/>
        <v/>
      </c>
      <c r="F362" s="170"/>
      <c r="G362" s="170"/>
      <c r="H362" s="170"/>
      <c r="I362" s="170"/>
      <c r="J362" s="170"/>
      <c r="K362" s="170"/>
      <c r="L362" s="170"/>
      <c r="M362" s="170"/>
      <c r="N362" s="170"/>
      <c r="O362" s="201"/>
    </row>
    <row r="363" spans="1:15" s="139" customFormat="1" ht="15.75">
      <c r="A363" s="205" t="str">
        <f>IF(ISNA(VLOOKUP(D363,'Standard Smelter Names'!$B$3:$E$153,4,FALSE)),"",VLOOKUP(D363,'Standard Smelter Names'!$B$3:$E$153,4,FALSE))</f>
        <v/>
      </c>
      <c r="B363" s="170"/>
      <c r="C363" s="184"/>
      <c r="D363" s="184" t="str">
        <f t="shared" si="10"/>
        <v/>
      </c>
      <c r="E363" s="170" t="str">
        <f t="shared" si="11"/>
        <v/>
      </c>
      <c r="F363" s="170"/>
      <c r="G363" s="170"/>
      <c r="H363" s="170"/>
      <c r="I363" s="170"/>
      <c r="J363" s="170"/>
      <c r="K363" s="170"/>
      <c r="L363" s="170"/>
      <c r="M363" s="170"/>
      <c r="N363" s="170"/>
      <c r="O363" s="201"/>
    </row>
    <row r="364" spans="1:15" s="139" customFormat="1" ht="15.75">
      <c r="A364" s="205" t="str">
        <f>IF(ISNA(VLOOKUP(D364,'Standard Smelter Names'!$B$3:$E$153,4,FALSE)),"",VLOOKUP(D364,'Standard Smelter Names'!$B$3:$E$153,4,FALSE))</f>
        <v/>
      </c>
      <c r="B364" s="170"/>
      <c r="C364" s="184"/>
      <c r="D364" s="184" t="str">
        <f t="shared" si="10"/>
        <v/>
      </c>
      <c r="E364" s="170" t="str">
        <f t="shared" si="11"/>
        <v/>
      </c>
      <c r="F364" s="170"/>
      <c r="G364" s="170"/>
      <c r="H364" s="170"/>
      <c r="I364" s="170"/>
      <c r="J364" s="170"/>
      <c r="K364" s="170"/>
      <c r="L364" s="170"/>
      <c r="M364" s="170"/>
      <c r="N364" s="170"/>
      <c r="O364" s="201"/>
    </row>
    <row r="365" spans="1:15" s="139" customFormat="1" ht="15.75">
      <c r="A365" s="205" t="str">
        <f>IF(ISNA(VLOOKUP(D365,'Standard Smelter Names'!$B$3:$E$153,4,FALSE)),"",VLOOKUP(D365,'Standard Smelter Names'!$B$3:$E$153,4,FALSE))</f>
        <v/>
      </c>
      <c r="B365" s="170"/>
      <c r="C365" s="184"/>
      <c r="D365" s="184" t="str">
        <f t="shared" si="10"/>
        <v/>
      </c>
      <c r="E365" s="170" t="str">
        <f t="shared" si="11"/>
        <v/>
      </c>
      <c r="F365" s="170"/>
      <c r="G365" s="170"/>
      <c r="H365" s="170"/>
      <c r="I365" s="170"/>
      <c r="J365" s="170"/>
      <c r="K365" s="170"/>
      <c r="L365" s="170"/>
      <c r="M365" s="170"/>
      <c r="N365" s="170"/>
      <c r="O365" s="201"/>
    </row>
    <row r="366" spans="1:15" s="139" customFormat="1" ht="15.75">
      <c r="A366" s="205" t="str">
        <f>IF(ISNA(VLOOKUP(D366,'Standard Smelter Names'!$B$3:$E$153,4,FALSE)),"",VLOOKUP(D366,'Standard Smelter Names'!$B$3:$E$153,4,FALSE))</f>
        <v/>
      </c>
      <c r="B366" s="170"/>
      <c r="C366" s="184"/>
      <c r="D366" s="184" t="str">
        <f t="shared" si="10"/>
        <v/>
      </c>
      <c r="E366" s="170" t="str">
        <f t="shared" si="11"/>
        <v/>
      </c>
      <c r="F366" s="170"/>
      <c r="G366" s="170"/>
      <c r="H366" s="170"/>
      <c r="I366" s="170"/>
      <c r="J366" s="170"/>
      <c r="K366" s="170"/>
      <c r="L366" s="170"/>
      <c r="M366" s="170"/>
      <c r="N366" s="170"/>
      <c r="O366" s="201"/>
    </row>
    <row r="367" spans="1:15" s="139" customFormat="1" ht="15.75">
      <c r="A367" s="205" t="str">
        <f>IF(ISNA(VLOOKUP(D367,'Standard Smelter Names'!$B$3:$E$153,4,FALSE)),"",VLOOKUP(D367,'Standard Smelter Names'!$B$3:$E$153,4,FALSE))</f>
        <v/>
      </c>
      <c r="B367" s="170"/>
      <c r="C367" s="184"/>
      <c r="D367" s="184" t="str">
        <f t="shared" si="10"/>
        <v/>
      </c>
      <c r="E367" s="170" t="str">
        <f t="shared" si="11"/>
        <v/>
      </c>
      <c r="F367" s="170"/>
      <c r="G367" s="170"/>
      <c r="H367" s="170"/>
      <c r="I367" s="170"/>
      <c r="J367" s="170"/>
      <c r="K367" s="170"/>
      <c r="L367" s="170"/>
      <c r="M367" s="170"/>
      <c r="N367" s="170"/>
      <c r="O367" s="201"/>
    </row>
    <row r="368" spans="1:15" s="139" customFormat="1" ht="15.75">
      <c r="A368" s="205" t="str">
        <f>IF(ISNA(VLOOKUP(D368,'Standard Smelter Names'!$B$3:$E$153,4,FALSE)),"",VLOOKUP(D368,'Standard Smelter Names'!$B$3:$E$153,4,FALSE))</f>
        <v/>
      </c>
      <c r="B368" s="170"/>
      <c r="C368" s="184"/>
      <c r="D368" s="184" t="str">
        <f t="shared" si="10"/>
        <v/>
      </c>
      <c r="E368" s="170" t="str">
        <f t="shared" si="11"/>
        <v/>
      </c>
      <c r="F368" s="170"/>
      <c r="G368" s="170"/>
      <c r="H368" s="170"/>
      <c r="I368" s="170"/>
      <c r="J368" s="170"/>
      <c r="K368" s="170"/>
      <c r="L368" s="170"/>
      <c r="M368" s="170"/>
      <c r="N368" s="170"/>
      <c r="O368" s="201"/>
    </row>
    <row r="369" spans="1:15" s="139" customFormat="1" ht="15.75">
      <c r="A369" s="205" t="str">
        <f>IF(ISNA(VLOOKUP(D369,'Standard Smelter Names'!$B$3:$E$153,4,FALSE)),"",VLOOKUP(D369,'Standard Smelter Names'!$B$3:$E$153,4,FALSE))</f>
        <v/>
      </c>
      <c r="B369" s="170"/>
      <c r="C369" s="184"/>
      <c r="D369" s="184" t="str">
        <f t="shared" si="10"/>
        <v/>
      </c>
      <c r="E369" s="170" t="str">
        <f t="shared" si="11"/>
        <v/>
      </c>
      <c r="F369" s="170"/>
      <c r="G369" s="170"/>
      <c r="H369" s="170"/>
      <c r="I369" s="170"/>
      <c r="J369" s="170"/>
      <c r="K369" s="170"/>
      <c r="L369" s="170"/>
      <c r="M369" s="170"/>
      <c r="N369" s="170"/>
      <c r="O369" s="201"/>
    </row>
    <row r="370" spans="1:15" s="139" customFormat="1" ht="15.75">
      <c r="A370" s="205" t="str">
        <f>IF(ISNA(VLOOKUP(D370,'Standard Smelter Names'!$B$3:$E$153,4,FALSE)),"",VLOOKUP(D370,'Standard Smelter Names'!$B$3:$E$153,4,FALSE))</f>
        <v/>
      </c>
      <c r="B370" s="170"/>
      <c r="C370" s="184"/>
      <c r="D370" s="184" t="str">
        <f t="shared" si="10"/>
        <v/>
      </c>
      <c r="E370" s="170" t="str">
        <f t="shared" si="11"/>
        <v/>
      </c>
      <c r="F370" s="170"/>
      <c r="G370" s="170"/>
      <c r="H370" s="170"/>
      <c r="I370" s="170"/>
      <c r="J370" s="170"/>
      <c r="K370" s="170"/>
      <c r="L370" s="170"/>
      <c r="M370" s="170"/>
      <c r="N370" s="170"/>
      <c r="O370" s="201"/>
    </row>
    <row r="371" spans="1:15" s="139" customFormat="1" ht="15.75">
      <c r="A371" s="205" t="str">
        <f>IF(ISNA(VLOOKUP(D371,'Standard Smelter Names'!$B$3:$E$153,4,FALSE)),"",VLOOKUP(D371,'Standard Smelter Names'!$B$3:$E$153,4,FALSE))</f>
        <v/>
      </c>
      <c r="B371" s="170"/>
      <c r="C371" s="184"/>
      <c r="D371" s="184" t="str">
        <f t="shared" si="10"/>
        <v/>
      </c>
      <c r="E371" s="170" t="str">
        <f t="shared" si="11"/>
        <v/>
      </c>
      <c r="F371" s="170"/>
      <c r="G371" s="170"/>
      <c r="H371" s="170"/>
      <c r="I371" s="170"/>
      <c r="J371" s="170"/>
      <c r="K371" s="170"/>
      <c r="L371" s="170"/>
      <c r="M371" s="170"/>
      <c r="N371" s="170"/>
      <c r="O371" s="201"/>
    </row>
    <row r="372" spans="1:15" s="139" customFormat="1" ht="15.75">
      <c r="A372" s="205" t="str">
        <f>IF(ISNA(VLOOKUP(D372,'Standard Smelter Names'!$B$3:$E$153,4,FALSE)),"",VLOOKUP(D372,'Standard Smelter Names'!$B$3:$E$153,4,FALSE))</f>
        <v/>
      </c>
      <c r="B372" s="170"/>
      <c r="C372" s="184"/>
      <c r="D372" s="184" t="str">
        <f t="shared" si="10"/>
        <v/>
      </c>
      <c r="E372" s="170" t="str">
        <f t="shared" si="11"/>
        <v/>
      </c>
      <c r="F372" s="170"/>
      <c r="G372" s="170"/>
      <c r="H372" s="170"/>
      <c r="I372" s="170"/>
      <c r="J372" s="170"/>
      <c r="K372" s="170"/>
      <c r="L372" s="170"/>
      <c r="M372" s="170"/>
      <c r="N372" s="170"/>
      <c r="O372" s="201"/>
    </row>
    <row r="373" spans="1:15" s="139" customFormat="1" ht="15.75">
      <c r="A373" s="205" t="str">
        <f>IF(ISNA(VLOOKUP(D373,'Standard Smelter Names'!$B$3:$E$153,4,FALSE)),"",VLOOKUP(D373,'Standard Smelter Names'!$B$3:$E$153,4,FALSE))</f>
        <v/>
      </c>
      <c r="B373" s="170"/>
      <c r="C373" s="184"/>
      <c r="D373" s="184" t="str">
        <f t="shared" si="10"/>
        <v/>
      </c>
      <c r="E373" s="170" t="str">
        <f t="shared" si="11"/>
        <v/>
      </c>
      <c r="F373" s="170"/>
      <c r="G373" s="170"/>
      <c r="H373" s="170"/>
      <c r="I373" s="170"/>
      <c r="J373" s="170"/>
      <c r="K373" s="170"/>
      <c r="L373" s="170"/>
      <c r="M373" s="170"/>
      <c r="N373" s="170"/>
      <c r="O373" s="201"/>
    </row>
    <row r="374" spans="1:15" s="139" customFormat="1" ht="15.75">
      <c r="A374" s="205" t="str">
        <f>IF(ISNA(VLOOKUP(D374,'Standard Smelter Names'!$B$3:$E$153,4,FALSE)),"",VLOOKUP(D374,'Standard Smelter Names'!$B$3:$E$153,4,FALSE))</f>
        <v/>
      </c>
      <c r="B374" s="170"/>
      <c r="C374" s="184"/>
      <c r="D374" s="184" t="str">
        <f t="shared" si="10"/>
        <v/>
      </c>
      <c r="E374" s="170" t="str">
        <f t="shared" si="11"/>
        <v/>
      </c>
      <c r="F374" s="170"/>
      <c r="G374" s="170"/>
      <c r="H374" s="170"/>
      <c r="I374" s="170"/>
      <c r="J374" s="170"/>
      <c r="K374" s="170"/>
      <c r="L374" s="170"/>
      <c r="M374" s="170"/>
      <c r="N374" s="170"/>
      <c r="O374" s="201"/>
    </row>
    <row r="375" spans="1:15" s="139" customFormat="1" ht="15.75">
      <c r="A375" s="205" t="str">
        <f>IF(ISNA(VLOOKUP(D375,'Standard Smelter Names'!$B$3:$E$153,4,FALSE)),"",VLOOKUP(D375,'Standard Smelter Names'!$B$3:$E$153,4,FALSE))</f>
        <v/>
      </c>
      <c r="B375" s="170"/>
      <c r="C375" s="184"/>
      <c r="D375" s="184" t="str">
        <f t="shared" si="10"/>
        <v/>
      </c>
      <c r="E375" s="170" t="str">
        <f t="shared" si="11"/>
        <v/>
      </c>
      <c r="F375" s="170"/>
      <c r="G375" s="170"/>
      <c r="H375" s="170"/>
      <c r="I375" s="170"/>
      <c r="J375" s="170"/>
      <c r="K375" s="170"/>
      <c r="L375" s="170"/>
      <c r="M375" s="170"/>
      <c r="N375" s="170"/>
      <c r="O375" s="201"/>
    </row>
    <row r="376" spans="1:15" s="139" customFormat="1" ht="15.75">
      <c r="A376" s="205" t="str">
        <f>IF(ISNA(VLOOKUP(D376,'Standard Smelter Names'!$B$3:$E$153,4,FALSE)),"",VLOOKUP(D376,'Standard Smelter Names'!$B$3:$E$153,4,FALSE))</f>
        <v/>
      </c>
      <c r="B376" s="170"/>
      <c r="C376" s="184"/>
      <c r="D376" s="184" t="str">
        <f t="shared" si="10"/>
        <v/>
      </c>
      <c r="E376" s="170" t="str">
        <f t="shared" si="11"/>
        <v/>
      </c>
      <c r="F376" s="170"/>
      <c r="G376" s="170"/>
      <c r="H376" s="170"/>
      <c r="I376" s="170"/>
      <c r="J376" s="170"/>
      <c r="K376" s="170"/>
      <c r="L376" s="170"/>
      <c r="M376" s="170"/>
      <c r="N376" s="170"/>
      <c r="O376" s="201"/>
    </row>
    <row r="377" spans="1:15" s="139" customFormat="1" ht="15.75">
      <c r="A377" s="205" t="str">
        <f>IF(ISNA(VLOOKUP(D377,'Standard Smelter Names'!$B$3:$E$153,4,FALSE)),"",VLOOKUP(D377,'Standard Smelter Names'!$B$3:$E$153,4,FALSE))</f>
        <v/>
      </c>
      <c r="B377" s="170"/>
      <c r="C377" s="184"/>
      <c r="D377" s="184" t="str">
        <f t="shared" si="10"/>
        <v/>
      </c>
      <c r="E377" s="170" t="str">
        <f t="shared" si="11"/>
        <v/>
      </c>
      <c r="F377" s="170"/>
      <c r="G377" s="170"/>
      <c r="H377" s="170"/>
      <c r="I377" s="170"/>
      <c r="J377" s="170"/>
      <c r="K377" s="170"/>
      <c r="L377" s="170"/>
      <c r="M377" s="170"/>
      <c r="N377" s="170"/>
      <c r="O377" s="201"/>
    </row>
    <row r="378" spans="1:15" s="139" customFormat="1" ht="15.75">
      <c r="A378" s="205" t="str">
        <f>IF(ISNA(VLOOKUP(D378,'Standard Smelter Names'!$B$3:$E$153,4,FALSE)),"",VLOOKUP(D378,'Standard Smelter Names'!$B$3:$E$153,4,FALSE))</f>
        <v/>
      </c>
      <c r="B378" s="170"/>
      <c r="C378" s="184"/>
      <c r="D378" s="184" t="str">
        <f t="shared" si="10"/>
        <v/>
      </c>
      <c r="E378" s="170" t="str">
        <f t="shared" si="11"/>
        <v/>
      </c>
      <c r="F378" s="170"/>
      <c r="G378" s="170"/>
      <c r="H378" s="170"/>
      <c r="I378" s="170"/>
      <c r="J378" s="170"/>
      <c r="K378" s="170"/>
      <c r="L378" s="170"/>
      <c r="M378" s="170"/>
      <c r="N378" s="170"/>
      <c r="O378" s="201"/>
    </row>
    <row r="379" spans="1:15" s="139" customFormat="1" ht="15.75">
      <c r="A379" s="205" t="str">
        <f>IF(ISNA(VLOOKUP(D379,'Standard Smelter Names'!$B$3:$E$153,4,FALSE)),"",VLOOKUP(D379,'Standard Smelter Names'!$B$3:$E$153,4,FALSE))</f>
        <v/>
      </c>
      <c r="B379" s="170"/>
      <c r="C379" s="184"/>
      <c r="D379" s="184" t="str">
        <f t="shared" si="10"/>
        <v/>
      </c>
      <c r="E379" s="170" t="str">
        <f t="shared" si="11"/>
        <v/>
      </c>
      <c r="F379" s="170"/>
      <c r="G379" s="170"/>
      <c r="H379" s="170"/>
      <c r="I379" s="170"/>
      <c r="J379" s="170"/>
      <c r="K379" s="170"/>
      <c r="L379" s="170"/>
      <c r="M379" s="170"/>
      <c r="N379" s="170"/>
      <c r="O379" s="201"/>
    </row>
    <row r="380" spans="1:15" s="139" customFormat="1" ht="15.75">
      <c r="A380" s="205" t="str">
        <f>IF(ISNA(VLOOKUP(D380,'Standard Smelter Names'!$B$3:$E$153,4,FALSE)),"",VLOOKUP(D380,'Standard Smelter Names'!$B$3:$E$153,4,FALSE))</f>
        <v/>
      </c>
      <c r="B380" s="170"/>
      <c r="C380" s="184"/>
      <c r="D380" s="184" t="str">
        <f t="shared" si="10"/>
        <v/>
      </c>
      <c r="E380" s="170" t="str">
        <f t="shared" si="11"/>
        <v/>
      </c>
      <c r="F380" s="170"/>
      <c r="G380" s="170"/>
      <c r="H380" s="170"/>
      <c r="I380" s="170"/>
      <c r="J380" s="170"/>
      <c r="K380" s="170"/>
      <c r="L380" s="170"/>
      <c r="M380" s="170"/>
      <c r="N380" s="170"/>
      <c r="O380" s="201"/>
    </row>
    <row r="381" spans="1:15" s="139" customFormat="1" ht="15.75">
      <c r="A381" s="205" t="str">
        <f>IF(ISNA(VLOOKUP(D381,'Standard Smelter Names'!$B$3:$E$153,4,FALSE)),"",VLOOKUP(D381,'Standard Smelter Names'!$B$3:$E$153,4,FALSE))</f>
        <v/>
      </c>
      <c r="B381" s="170"/>
      <c r="C381" s="184"/>
      <c r="D381" s="184" t="str">
        <f t="shared" si="10"/>
        <v/>
      </c>
      <c r="E381" s="170" t="str">
        <f t="shared" si="11"/>
        <v/>
      </c>
      <c r="F381" s="170"/>
      <c r="G381" s="170"/>
      <c r="H381" s="170"/>
      <c r="I381" s="170"/>
      <c r="J381" s="170"/>
      <c r="K381" s="170"/>
      <c r="L381" s="170"/>
      <c r="M381" s="170"/>
      <c r="N381" s="170"/>
      <c r="O381" s="201"/>
    </row>
    <row r="382" spans="1:15" s="139" customFormat="1" ht="15.75">
      <c r="A382" s="205" t="str">
        <f>IF(ISNA(VLOOKUP(D382,'Standard Smelter Names'!$B$3:$E$153,4,FALSE)),"",VLOOKUP(D382,'Standard Smelter Names'!$B$3:$E$153,4,FALSE))</f>
        <v/>
      </c>
      <c r="B382" s="170"/>
      <c r="C382" s="184"/>
      <c r="D382" s="184" t="str">
        <f t="shared" si="10"/>
        <v/>
      </c>
      <c r="E382" s="170" t="str">
        <f t="shared" si="11"/>
        <v/>
      </c>
      <c r="F382" s="170"/>
      <c r="G382" s="170"/>
      <c r="H382" s="170"/>
      <c r="I382" s="170"/>
      <c r="J382" s="170"/>
      <c r="K382" s="170"/>
      <c r="L382" s="170"/>
      <c r="M382" s="170"/>
      <c r="N382" s="170"/>
      <c r="O382" s="201"/>
    </row>
    <row r="383" spans="1:15" s="139" customFormat="1" ht="15.75">
      <c r="A383" s="205" t="str">
        <f>IF(ISNA(VLOOKUP(D383,'Standard Smelter Names'!$B$3:$E$153,4,FALSE)),"",VLOOKUP(D383,'Standard Smelter Names'!$B$3:$E$153,4,FALSE))</f>
        <v/>
      </c>
      <c r="B383" s="170"/>
      <c r="C383" s="184"/>
      <c r="D383" s="184" t="str">
        <f t="shared" si="10"/>
        <v/>
      </c>
      <c r="E383" s="170" t="str">
        <f t="shared" si="11"/>
        <v/>
      </c>
      <c r="F383" s="170"/>
      <c r="G383" s="170"/>
      <c r="H383" s="170"/>
      <c r="I383" s="170"/>
      <c r="J383" s="170"/>
      <c r="K383" s="170"/>
      <c r="L383" s="170"/>
      <c r="M383" s="170"/>
      <c r="N383" s="170"/>
      <c r="O383" s="201"/>
    </row>
    <row r="384" spans="1:15" s="139" customFormat="1" ht="15.75">
      <c r="A384" s="205" t="str">
        <f>IF(ISNA(VLOOKUP(D384,'Standard Smelter Names'!$B$3:$E$153,4,FALSE)),"",VLOOKUP(D384,'Standard Smelter Names'!$B$3:$E$153,4,FALSE))</f>
        <v/>
      </c>
      <c r="B384" s="170"/>
      <c r="C384" s="184"/>
      <c r="D384" s="184" t="str">
        <f t="shared" si="10"/>
        <v/>
      </c>
      <c r="E384" s="170" t="str">
        <f t="shared" si="11"/>
        <v/>
      </c>
      <c r="F384" s="170"/>
      <c r="G384" s="170"/>
      <c r="H384" s="170"/>
      <c r="I384" s="170"/>
      <c r="J384" s="170"/>
      <c r="K384" s="170"/>
      <c r="L384" s="170"/>
      <c r="M384" s="170"/>
      <c r="N384" s="170"/>
      <c r="O384" s="201"/>
    </row>
    <row r="385" spans="1:15" s="139" customFormat="1" ht="15.75">
      <c r="A385" s="205" t="str">
        <f>IF(ISNA(VLOOKUP(D385,'Standard Smelter Names'!$B$3:$E$153,4,FALSE)),"",VLOOKUP(D385,'Standard Smelter Names'!$B$3:$E$153,4,FALSE))</f>
        <v/>
      </c>
      <c r="B385" s="170"/>
      <c r="C385" s="184"/>
      <c r="D385" s="184" t="str">
        <f t="shared" si="10"/>
        <v/>
      </c>
      <c r="E385" s="170" t="str">
        <f t="shared" si="11"/>
        <v/>
      </c>
      <c r="F385" s="170"/>
      <c r="G385" s="170"/>
      <c r="H385" s="170"/>
      <c r="I385" s="170"/>
      <c r="J385" s="170"/>
      <c r="K385" s="170"/>
      <c r="L385" s="170"/>
      <c r="M385" s="170"/>
      <c r="N385" s="170"/>
      <c r="O385" s="201"/>
    </row>
    <row r="386" spans="1:15" s="139" customFormat="1" ht="15.75">
      <c r="A386" s="205" t="str">
        <f>IF(ISNA(VLOOKUP(D386,'Standard Smelter Names'!$B$3:$E$153,4,FALSE)),"",VLOOKUP(D386,'Standard Smelter Names'!$B$3:$E$153,4,FALSE))</f>
        <v/>
      </c>
      <c r="B386" s="170"/>
      <c r="C386" s="184"/>
      <c r="D386" s="184" t="str">
        <f t="shared" si="10"/>
        <v/>
      </c>
      <c r="E386" s="170" t="str">
        <f t="shared" si="11"/>
        <v/>
      </c>
      <c r="F386" s="170"/>
      <c r="G386" s="170"/>
      <c r="H386" s="170"/>
      <c r="I386" s="170"/>
      <c r="J386" s="170"/>
      <c r="K386" s="170"/>
      <c r="L386" s="170"/>
      <c r="M386" s="170"/>
      <c r="N386" s="170"/>
      <c r="O386" s="201"/>
    </row>
    <row r="387" spans="1:15" s="139" customFormat="1" ht="15.75">
      <c r="A387" s="205" t="str">
        <f>IF(ISNA(VLOOKUP(D387,'Standard Smelter Names'!$B$3:$E$153,4,FALSE)),"",VLOOKUP(D387,'Standard Smelter Names'!$B$3:$E$153,4,FALSE))</f>
        <v/>
      </c>
      <c r="B387" s="170"/>
      <c r="C387" s="184"/>
      <c r="D387" s="184" t="str">
        <f t="shared" si="10"/>
        <v/>
      </c>
      <c r="E387" s="170" t="str">
        <f t="shared" si="11"/>
        <v/>
      </c>
      <c r="F387" s="170"/>
      <c r="G387" s="170"/>
      <c r="H387" s="170"/>
      <c r="I387" s="170"/>
      <c r="J387" s="170"/>
      <c r="K387" s="170"/>
      <c r="L387" s="170"/>
      <c r="M387" s="170"/>
      <c r="N387" s="170"/>
      <c r="O387" s="201"/>
    </row>
    <row r="388" spans="1:15" s="139" customFormat="1" ht="15.75">
      <c r="A388" s="205" t="str">
        <f>IF(ISNA(VLOOKUP(D388,'Standard Smelter Names'!$B$3:$E$153,4,FALSE)),"",VLOOKUP(D388,'Standard Smelter Names'!$B$3:$E$153,4,FALSE))</f>
        <v/>
      </c>
      <c r="B388" s="170"/>
      <c r="C388" s="184"/>
      <c r="D388" s="184" t="str">
        <f t="shared" si="10"/>
        <v/>
      </c>
      <c r="E388" s="170" t="str">
        <f t="shared" si="11"/>
        <v/>
      </c>
      <c r="F388" s="170"/>
      <c r="G388" s="170"/>
      <c r="H388" s="170"/>
      <c r="I388" s="170"/>
      <c r="J388" s="170"/>
      <c r="K388" s="170"/>
      <c r="L388" s="170"/>
      <c r="M388" s="170"/>
      <c r="N388" s="170"/>
      <c r="O388" s="201"/>
    </row>
    <row r="389" spans="1:15" s="139" customFormat="1" ht="15.75">
      <c r="A389" s="205" t="str">
        <f>IF(ISNA(VLOOKUP(D389,'Standard Smelter Names'!$B$3:$E$153,4,FALSE)),"",VLOOKUP(D389,'Standard Smelter Names'!$B$3:$E$153,4,FALSE))</f>
        <v/>
      </c>
      <c r="B389" s="170"/>
      <c r="C389" s="184"/>
      <c r="D389" s="184" t="str">
        <f t="shared" ref="D389:D452" si="12">IF(ISNA(VLOOKUP(C389,$G$1023:$I$1309,3,FALSE)),"",VLOOKUP(C389,$G$1023:$I$1309,3,FALSE))</f>
        <v/>
      </c>
      <c r="E389" s="170" t="str">
        <f t="shared" ref="E389:E452" si="13">IF(ISNA(VLOOKUP(C389,$G$1023:$I$1309,2,FALSE)),"",VLOOKUP(C389,$G$1023:$I$1309,2,FALSE))</f>
        <v/>
      </c>
      <c r="F389" s="170"/>
      <c r="G389" s="170"/>
      <c r="H389" s="170"/>
      <c r="I389" s="170"/>
      <c r="J389" s="170"/>
      <c r="K389" s="170"/>
      <c r="L389" s="170"/>
      <c r="M389" s="170"/>
      <c r="N389" s="170"/>
      <c r="O389" s="201"/>
    </row>
    <row r="390" spans="1:15" s="139" customFormat="1" ht="15.75">
      <c r="A390" s="205" t="str">
        <f>IF(ISNA(VLOOKUP(D390,'Standard Smelter Names'!$B$3:$E$153,4,FALSE)),"",VLOOKUP(D390,'Standard Smelter Names'!$B$3:$E$153,4,FALSE))</f>
        <v/>
      </c>
      <c r="B390" s="170"/>
      <c r="C390" s="184"/>
      <c r="D390" s="184" t="str">
        <f t="shared" si="12"/>
        <v/>
      </c>
      <c r="E390" s="170" t="str">
        <f t="shared" si="13"/>
        <v/>
      </c>
      <c r="F390" s="170"/>
      <c r="G390" s="170"/>
      <c r="H390" s="170"/>
      <c r="I390" s="170"/>
      <c r="J390" s="170"/>
      <c r="K390" s="170"/>
      <c r="L390" s="170"/>
      <c r="M390" s="170"/>
      <c r="N390" s="170"/>
      <c r="O390" s="201"/>
    </row>
    <row r="391" spans="1:15" s="139" customFormat="1" ht="15.75">
      <c r="A391" s="205" t="str">
        <f>IF(ISNA(VLOOKUP(D391,'Standard Smelter Names'!$B$3:$E$153,4,FALSE)),"",VLOOKUP(D391,'Standard Smelter Names'!$B$3:$E$153,4,FALSE))</f>
        <v/>
      </c>
      <c r="B391" s="170"/>
      <c r="C391" s="184"/>
      <c r="D391" s="184" t="str">
        <f t="shared" si="12"/>
        <v/>
      </c>
      <c r="E391" s="170" t="str">
        <f t="shared" si="13"/>
        <v/>
      </c>
      <c r="F391" s="170"/>
      <c r="G391" s="170"/>
      <c r="H391" s="170"/>
      <c r="I391" s="170"/>
      <c r="J391" s="170"/>
      <c r="K391" s="170"/>
      <c r="L391" s="170"/>
      <c r="M391" s="170"/>
      <c r="N391" s="170"/>
      <c r="O391" s="201"/>
    </row>
    <row r="392" spans="1:15" s="139" customFormat="1" ht="15.75">
      <c r="A392" s="205" t="str">
        <f>IF(ISNA(VLOOKUP(D392,'Standard Smelter Names'!$B$3:$E$153,4,FALSE)),"",VLOOKUP(D392,'Standard Smelter Names'!$B$3:$E$153,4,FALSE))</f>
        <v/>
      </c>
      <c r="B392" s="170"/>
      <c r="C392" s="184"/>
      <c r="D392" s="184" t="str">
        <f t="shared" si="12"/>
        <v/>
      </c>
      <c r="E392" s="170" t="str">
        <f t="shared" si="13"/>
        <v/>
      </c>
      <c r="F392" s="170"/>
      <c r="G392" s="170"/>
      <c r="H392" s="170"/>
      <c r="I392" s="170"/>
      <c r="J392" s="170"/>
      <c r="K392" s="170"/>
      <c r="L392" s="170"/>
      <c r="M392" s="170"/>
      <c r="N392" s="170"/>
      <c r="O392" s="201"/>
    </row>
    <row r="393" spans="1:15" s="139" customFormat="1" ht="15.75">
      <c r="A393" s="205" t="str">
        <f>IF(ISNA(VLOOKUP(D393,'Standard Smelter Names'!$B$3:$E$153,4,FALSE)),"",VLOOKUP(D393,'Standard Smelter Names'!$B$3:$E$153,4,FALSE))</f>
        <v/>
      </c>
      <c r="B393" s="170"/>
      <c r="C393" s="184"/>
      <c r="D393" s="184" t="str">
        <f t="shared" si="12"/>
        <v/>
      </c>
      <c r="E393" s="170" t="str">
        <f t="shared" si="13"/>
        <v/>
      </c>
      <c r="F393" s="170"/>
      <c r="G393" s="170"/>
      <c r="H393" s="170"/>
      <c r="I393" s="170"/>
      <c r="J393" s="170"/>
      <c r="K393" s="170"/>
      <c r="L393" s="170"/>
      <c r="M393" s="170"/>
      <c r="N393" s="170"/>
      <c r="O393" s="201"/>
    </row>
    <row r="394" spans="1:15" s="139" customFormat="1" ht="15.75">
      <c r="A394" s="205" t="str">
        <f>IF(ISNA(VLOOKUP(D394,'Standard Smelter Names'!$B$3:$E$153,4,FALSE)),"",VLOOKUP(D394,'Standard Smelter Names'!$B$3:$E$153,4,FALSE))</f>
        <v/>
      </c>
      <c r="B394" s="170"/>
      <c r="C394" s="184"/>
      <c r="D394" s="184" t="str">
        <f t="shared" si="12"/>
        <v/>
      </c>
      <c r="E394" s="170" t="str">
        <f t="shared" si="13"/>
        <v/>
      </c>
      <c r="F394" s="170"/>
      <c r="G394" s="170"/>
      <c r="H394" s="170"/>
      <c r="I394" s="170"/>
      <c r="J394" s="170"/>
      <c r="K394" s="170"/>
      <c r="L394" s="170"/>
      <c r="M394" s="170"/>
      <c r="N394" s="170"/>
      <c r="O394" s="201"/>
    </row>
    <row r="395" spans="1:15" s="139" customFormat="1" ht="15.75">
      <c r="A395" s="205" t="str">
        <f>IF(ISNA(VLOOKUP(D395,'Standard Smelter Names'!$B$3:$E$153,4,FALSE)),"",VLOOKUP(D395,'Standard Smelter Names'!$B$3:$E$153,4,FALSE))</f>
        <v/>
      </c>
      <c r="B395" s="170"/>
      <c r="C395" s="184"/>
      <c r="D395" s="184" t="str">
        <f t="shared" si="12"/>
        <v/>
      </c>
      <c r="E395" s="170" t="str">
        <f t="shared" si="13"/>
        <v/>
      </c>
      <c r="F395" s="170"/>
      <c r="G395" s="170"/>
      <c r="H395" s="170"/>
      <c r="I395" s="170"/>
      <c r="J395" s="170"/>
      <c r="K395" s="170"/>
      <c r="L395" s="170"/>
      <c r="M395" s="170"/>
      <c r="N395" s="170"/>
      <c r="O395" s="201"/>
    </row>
    <row r="396" spans="1:15" s="139" customFormat="1" ht="15.75">
      <c r="A396" s="205" t="str">
        <f>IF(ISNA(VLOOKUP(D396,'Standard Smelter Names'!$B$3:$E$153,4,FALSE)),"",VLOOKUP(D396,'Standard Smelter Names'!$B$3:$E$153,4,FALSE))</f>
        <v/>
      </c>
      <c r="B396" s="170"/>
      <c r="C396" s="184"/>
      <c r="D396" s="184" t="str">
        <f t="shared" si="12"/>
        <v/>
      </c>
      <c r="E396" s="170" t="str">
        <f t="shared" si="13"/>
        <v/>
      </c>
      <c r="F396" s="170"/>
      <c r="G396" s="170"/>
      <c r="H396" s="170"/>
      <c r="I396" s="170"/>
      <c r="J396" s="170"/>
      <c r="K396" s="170"/>
      <c r="L396" s="170"/>
      <c r="M396" s="170"/>
      <c r="N396" s="170"/>
      <c r="O396" s="201"/>
    </row>
    <row r="397" spans="1:15" s="139" customFormat="1" ht="15.75">
      <c r="A397" s="205" t="str">
        <f>IF(ISNA(VLOOKUP(D397,'Standard Smelter Names'!$B$3:$E$153,4,FALSE)),"",VLOOKUP(D397,'Standard Smelter Names'!$B$3:$E$153,4,FALSE))</f>
        <v/>
      </c>
      <c r="B397" s="170"/>
      <c r="C397" s="184"/>
      <c r="D397" s="184" t="str">
        <f t="shared" si="12"/>
        <v/>
      </c>
      <c r="E397" s="170" t="str">
        <f t="shared" si="13"/>
        <v/>
      </c>
      <c r="F397" s="170"/>
      <c r="G397" s="170"/>
      <c r="H397" s="170"/>
      <c r="I397" s="170"/>
      <c r="J397" s="170"/>
      <c r="K397" s="170"/>
      <c r="L397" s="170"/>
      <c r="M397" s="170"/>
      <c r="N397" s="170"/>
      <c r="O397" s="201"/>
    </row>
    <row r="398" spans="1:15" s="139" customFormat="1" ht="15.75">
      <c r="A398" s="205" t="str">
        <f>IF(ISNA(VLOOKUP(D398,'Standard Smelter Names'!$B$3:$E$153,4,FALSE)),"",VLOOKUP(D398,'Standard Smelter Names'!$B$3:$E$153,4,FALSE))</f>
        <v/>
      </c>
      <c r="B398" s="170"/>
      <c r="C398" s="184"/>
      <c r="D398" s="184" t="str">
        <f t="shared" si="12"/>
        <v/>
      </c>
      <c r="E398" s="170" t="str">
        <f t="shared" si="13"/>
        <v/>
      </c>
      <c r="F398" s="170"/>
      <c r="G398" s="170"/>
      <c r="H398" s="170"/>
      <c r="I398" s="170"/>
      <c r="J398" s="170"/>
      <c r="K398" s="170"/>
      <c r="L398" s="170"/>
      <c r="M398" s="170"/>
      <c r="N398" s="170"/>
      <c r="O398" s="201"/>
    </row>
    <row r="399" spans="1:15" s="139" customFormat="1" ht="15.75">
      <c r="A399" s="205" t="str">
        <f>IF(ISNA(VLOOKUP(D399,'Standard Smelter Names'!$B$3:$E$153,4,FALSE)),"",VLOOKUP(D399,'Standard Smelter Names'!$B$3:$E$153,4,FALSE))</f>
        <v/>
      </c>
      <c r="B399" s="170"/>
      <c r="C399" s="184"/>
      <c r="D399" s="184" t="str">
        <f t="shared" si="12"/>
        <v/>
      </c>
      <c r="E399" s="170" t="str">
        <f t="shared" si="13"/>
        <v/>
      </c>
      <c r="F399" s="170"/>
      <c r="G399" s="170"/>
      <c r="H399" s="170"/>
      <c r="I399" s="170"/>
      <c r="J399" s="170"/>
      <c r="K399" s="170"/>
      <c r="L399" s="170"/>
      <c r="M399" s="170"/>
      <c r="N399" s="170"/>
      <c r="O399" s="201"/>
    </row>
    <row r="400" spans="1:15" s="139" customFormat="1" ht="15.75">
      <c r="A400" s="205" t="str">
        <f>IF(ISNA(VLOOKUP(D400,'Standard Smelter Names'!$B$3:$E$153,4,FALSE)),"",VLOOKUP(D400,'Standard Smelter Names'!$B$3:$E$153,4,FALSE))</f>
        <v/>
      </c>
      <c r="B400" s="170"/>
      <c r="C400" s="184"/>
      <c r="D400" s="184" t="str">
        <f t="shared" si="12"/>
        <v/>
      </c>
      <c r="E400" s="170" t="str">
        <f t="shared" si="13"/>
        <v/>
      </c>
      <c r="F400" s="170"/>
      <c r="G400" s="170"/>
      <c r="H400" s="170"/>
      <c r="I400" s="170"/>
      <c r="J400" s="170"/>
      <c r="K400" s="170"/>
      <c r="L400" s="170"/>
      <c r="M400" s="170"/>
      <c r="N400" s="170"/>
      <c r="O400" s="201"/>
    </row>
    <row r="401" spans="1:15" s="139" customFormat="1" ht="15.75">
      <c r="A401" s="205" t="str">
        <f>IF(ISNA(VLOOKUP(D401,'Standard Smelter Names'!$B$3:$E$153,4,FALSE)),"",VLOOKUP(D401,'Standard Smelter Names'!$B$3:$E$153,4,FALSE))</f>
        <v/>
      </c>
      <c r="B401" s="170"/>
      <c r="C401" s="184"/>
      <c r="D401" s="184" t="str">
        <f t="shared" si="12"/>
        <v/>
      </c>
      <c r="E401" s="170" t="str">
        <f t="shared" si="13"/>
        <v/>
      </c>
      <c r="F401" s="170"/>
      <c r="G401" s="170"/>
      <c r="H401" s="170"/>
      <c r="I401" s="170"/>
      <c r="J401" s="170"/>
      <c r="K401" s="170"/>
      <c r="L401" s="170"/>
      <c r="M401" s="170"/>
      <c r="N401" s="170"/>
      <c r="O401" s="201"/>
    </row>
    <row r="402" spans="1:15" s="139" customFormat="1" ht="15.75">
      <c r="A402" s="205" t="str">
        <f>IF(ISNA(VLOOKUP(D402,'Standard Smelter Names'!$B$3:$E$153,4,FALSE)),"",VLOOKUP(D402,'Standard Smelter Names'!$B$3:$E$153,4,FALSE))</f>
        <v/>
      </c>
      <c r="B402" s="170"/>
      <c r="C402" s="184"/>
      <c r="D402" s="184" t="str">
        <f t="shared" si="12"/>
        <v/>
      </c>
      <c r="E402" s="170" t="str">
        <f t="shared" si="13"/>
        <v/>
      </c>
      <c r="F402" s="170"/>
      <c r="G402" s="170"/>
      <c r="H402" s="170"/>
      <c r="I402" s="170"/>
      <c r="J402" s="170"/>
      <c r="K402" s="170"/>
      <c r="L402" s="170"/>
      <c r="M402" s="170"/>
      <c r="N402" s="170"/>
      <c r="O402" s="201"/>
    </row>
    <row r="403" spans="1:15" s="139" customFormat="1" ht="15.75">
      <c r="A403" s="205" t="str">
        <f>IF(ISNA(VLOOKUP(D403,'Standard Smelter Names'!$B$3:$E$153,4,FALSE)),"",VLOOKUP(D403,'Standard Smelter Names'!$B$3:$E$153,4,FALSE))</f>
        <v/>
      </c>
      <c r="B403" s="170"/>
      <c r="C403" s="184"/>
      <c r="D403" s="184" t="str">
        <f t="shared" si="12"/>
        <v/>
      </c>
      <c r="E403" s="170" t="str">
        <f t="shared" si="13"/>
        <v/>
      </c>
      <c r="F403" s="170"/>
      <c r="G403" s="170"/>
      <c r="H403" s="170"/>
      <c r="I403" s="170"/>
      <c r="J403" s="170"/>
      <c r="K403" s="170"/>
      <c r="L403" s="170"/>
      <c r="M403" s="170"/>
      <c r="N403" s="170"/>
      <c r="O403" s="201"/>
    </row>
    <row r="404" spans="1:15" s="139" customFormat="1" ht="15.75">
      <c r="A404" s="205" t="str">
        <f>IF(ISNA(VLOOKUP(D404,'Standard Smelter Names'!$B$3:$E$153,4,FALSE)),"",VLOOKUP(D404,'Standard Smelter Names'!$B$3:$E$153,4,FALSE))</f>
        <v/>
      </c>
      <c r="B404" s="170"/>
      <c r="C404" s="184"/>
      <c r="D404" s="184" t="str">
        <f t="shared" si="12"/>
        <v/>
      </c>
      <c r="E404" s="170" t="str">
        <f t="shared" si="13"/>
        <v/>
      </c>
      <c r="F404" s="170"/>
      <c r="G404" s="170"/>
      <c r="H404" s="170"/>
      <c r="I404" s="170"/>
      <c r="J404" s="170"/>
      <c r="K404" s="170"/>
      <c r="L404" s="170"/>
      <c r="M404" s="170"/>
      <c r="N404" s="170"/>
      <c r="O404" s="201"/>
    </row>
    <row r="405" spans="1:15" s="139" customFormat="1" ht="15.75">
      <c r="A405" s="205" t="str">
        <f>IF(ISNA(VLOOKUP(D405,'Standard Smelter Names'!$B$3:$E$153,4,FALSE)),"",VLOOKUP(D405,'Standard Smelter Names'!$B$3:$E$153,4,FALSE))</f>
        <v/>
      </c>
      <c r="B405" s="170"/>
      <c r="C405" s="184"/>
      <c r="D405" s="184" t="str">
        <f t="shared" si="12"/>
        <v/>
      </c>
      <c r="E405" s="170" t="str">
        <f t="shared" si="13"/>
        <v/>
      </c>
      <c r="F405" s="170"/>
      <c r="G405" s="170"/>
      <c r="H405" s="170"/>
      <c r="I405" s="170"/>
      <c r="J405" s="170"/>
      <c r="K405" s="170"/>
      <c r="L405" s="170"/>
      <c r="M405" s="170"/>
      <c r="N405" s="170"/>
      <c r="O405" s="201"/>
    </row>
    <row r="406" spans="1:15" s="139" customFormat="1" ht="15.75">
      <c r="A406" s="205" t="str">
        <f>IF(ISNA(VLOOKUP(D406,'Standard Smelter Names'!$B$3:$E$153,4,FALSE)),"",VLOOKUP(D406,'Standard Smelter Names'!$B$3:$E$153,4,FALSE))</f>
        <v/>
      </c>
      <c r="B406" s="170"/>
      <c r="C406" s="184"/>
      <c r="D406" s="184" t="str">
        <f t="shared" si="12"/>
        <v/>
      </c>
      <c r="E406" s="170" t="str">
        <f t="shared" si="13"/>
        <v/>
      </c>
      <c r="F406" s="170"/>
      <c r="G406" s="170"/>
      <c r="H406" s="170"/>
      <c r="I406" s="170"/>
      <c r="J406" s="170"/>
      <c r="K406" s="170"/>
      <c r="L406" s="170"/>
      <c r="M406" s="170"/>
      <c r="N406" s="170"/>
      <c r="O406" s="201"/>
    </row>
    <row r="407" spans="1:15" s="139" customFormat="1" ht="15.75">
      <c r="A407" s="205" t="str">
        <f>IF(ISNA(VLOOKUP(D407,'Standard Smelter Names'!$B$3:$E$153,4,FALSE)),"",VLOOKUP(D407,'Standard Smelter Names'!$B$3:$E$153,4,FALSE))</f>
        <v/>
      </c>
      <c r="B407" s="170"/>
      <c r="C407" s="184"/>
      <c r="D407" s="184" t="str">
        <f t="shared" si="12"/>
        <v/>
      </c>
      <c r="E407" s="170" t="str">
        <f t="shared" si="13"/>
        <v/>
      </c>
      <c r="F407" s="170"/>
      <c r="G407" s="170"/>
      <c r="H407" s="170"/>
      <c r="I407" s="170"/>
      <c r="J407" s="170"/>
      <c r="K407" s="170"/>
      <c r="L407" s="170"/>
      <c r="M407" s="170"/>
      <c r="N407" s="170"/>
      <c r="O407" s="201"/>
    </row>
    <row r="408" spans="1:15" s="139" customFormat="1" ht="15.75">
      <c r="A408" s="205" t="str">
        <f>IF(ISNA(VLOOKUP(D408,'Standard Smelter Names'!$B$3:$E$153,4,FALSE)),"",VLOOKUP(D408,'Standard Smelter Names'!$B$3:$E$153,4,FALSE))</f>
        <v/>
      </c>
      <c r="B408" s="170"/>
      <c r="C408" s="184"/>
      <c r="D408" s="184" t="str">
        <f t="shared" si="12"/>
        <v/>
      </c>
      <c r="E408" s="170" t="str">
        <f t="shared" si="13"/>
        <v/>
      </c>
      <c r="F408" s="170"/>
      <c r="G408" s="170"/>
      <c r="H408" s="170"/>
      <c r="I408" s="170"/>
      <c r="J408" s="170"/>
      <c r="K408" s="170"/>
      <c r="L408" s="170"/>
      <c r="M408" s="170"/>
      <c r="N408" s="170"/>
      <c r="O408" s="201"/>
    </row>
    <row r="409" spans="1:15" s="139" customFormat="1" ht="15.75">
      <c r="A409" s="205" t="str">
        <f>IF(ISNA(VLOOKUP(D409,'Standard Smelter Names'!$B$3:$E$153,4,FALSE)),"",VLOOKUP(D409,'Standard Smelter Names'!$B$3:$E$153,4,FALSE))</f>
        <v/>
      </c>
      <c r="B409" s="170"/>
      <c r="C409" s="184"/>
      <c r="D409" s="184" t="str">
        <f t="shared" si="12"/>
        <v/>
      </c>
      <c r="E409" s="170" t="str">
        <f t="shared" si="13"/>
        <v/>
      </c>
      <c r="F409" s="170"/>
      <c r="G409" s="170"/>
      <c r="H409" s="170"/>
      <c r="I409" s="170"/>
      <c r="J409" s="170"/>
      <c r="K409" s="170"/>
      <c r="L409" s="170"/>
      <c r="M409" s="170"/>
      <c r="N409" s="170"/>
      <c r="O409" s="201"/>
    </row>
    <row r="410" spans="1:15" s="139" customFormat="1" ht="15.75">
      <c r="A410" s="205" t="str">
        <f>IF(ISNA(VLOOKUP(D410,'Standard Smelter Names'!$B$3:$E$153,4,FALSE)),"",VLOOKUP(D410,'Standard Smelter Names'!$B$3:$E$153,4,FALSE))</f>
        <v/>
      </c>
      <c r="B410" s="170"/>
      <c r="C410" s="184"/>
      <c r="D410" s="184" t="str">
        <f t="shared" si="12"/>
        <v/>
      </c>
      <c r="E410" s="170" t="str">
        <f t="shared" si="13"/>
        <v/>
      </c>
      <c r="F410" s="170"/>
      <c r="G410" s="170"/>
      <c r="H410" s="170"/>
      <c r="I410" s="170"/>
      <c r="J410" s="170"/>
      <c r="K410" s="170"/>
      <c r="L410" s="170"/>
      <c r="M410" s="170"/>
      <c r="N410" s="170"/>
      <c r="O410" s="201"/>
    </row>
    <row r="411" spans="1:15" s="139" customFormat="1" ht="15.75">
      <c r="A411" s="205" t="str">
        <f>IF(ISNA(VLOOKUP(D411,'Standard Smelter Names'!$B$3:$E$153,4,FALSE)),"",VLOOKUP(D411,'Standard Smelter Names'!$B$3:$E$153,4,FALSE))</f>
        <v/>
      </c>
      <c r="B411" s="170"/>
      <c r="C411" s="184"/>
      <c r="D411" s="184" t="str">
        <f t="shared" si="12"/>
        <v/>
      </c>
      <c r="E411" s="170" t="str">
        <f t="shared" si="13"/>
        <v/>
      </c>
      <c r="F411" s="170"/>
      <c r="G411" s="170"/>
      <c r="H411" s="170"/>
      <c r="I411" s="170"/>
      <c r="J411" s="170"/>
      <c r="K411" s="170"/>
      <c r="L411" s="170"/>
      <c r="M411" s="170"/>
      <c r="N411" s="170"/>
      <c r="O411" s="201"/>
    </row>
    <row r="412" spans="1:15" s="139" customFormat="1" ht="15.75">
      <c r="A412" s="205" t="str">
        <f>IF(ISNA(VLOOKUP(D412,'Standard Smelter Names'!$B$3:$E$153,4,FALSE)),"",VLOOKUP(D412,'Standard Smelter Names'!$B$3:$E$153,4,FALSE))</f>
        <v/>
      </c>
      <c r="B412" s="170"/>
      <c r="C412" s="184"/>
      <c r="D412" s="184" t="str">
        <f t="shared" si="12"/>
        <v/>
      </c>
      <c r="E412" s="170" t="str">
        <f t="shared" si="13"/>
        <v/>
      </c>
      <c r="F412" s="170"/>
      <c r="G412" s="170"/>
      <c r="H412" s="170"/>
      <c r="I412" s="170"/>
      <c r="J412" s="170"/>
      <c r="K412" s="170"/>
      <c r="L412" s="170"/>
      <c r="M412" s="170"/>
      <c r="N412" s="170"/>
      <c r="O412" s="201"/>
    </row>
    <row r="413" spans="1:15" s="139" customFormat="1" ht="15.75">
      <c r="A413" s="205" t="str">
        <f>IF(ISNA(VLOOKUP(D413,'Standard Smelter Names'!$B$3:$E$153,4,FALSE)),"",VLOOKUP(D413,'Standard Smelter Names'!$B$3:$E$153,4,FALSE))</f>
        <v/>
      </c>
      <c r="B413" s="170"/>
      <c r="C413" s="184"/>
      <c r="D413" s="184" t="str">
        <f t="shared" si="12"/>
        <v/>
      </c>
      <c r="E413" s="170" t="str">
        <f t="shared" si="13"/>
        <v/>
      </c>
      <c r="F413" s="170"/>
      <c r="G413" s="170"/>
      <c r="H413" s="170"/>
      <c r="I413" s="170"/>
      <c r="J413" s="170"/>
      <c r="K413" s="170"/>
      <c r="L413" s="170"/>
      <c r="M413" s="170"/>
      <c r="N413" s="170"/>
      <c r="O413" s="201"/>
    </row>
    <row r="414" spans="1:15" s="139" customFormat="1" ht="15.75">
      <c r="A414" s="205" t="str">
        <f>IF(ISNA(VLOOKUP(D414,'Standard Smelter Names'!$B$3:$E$153,4,FALSE)),"",VLOOKUP(D414,'Standard Smelter Names'!$B$3:$E$153,4,FALSE))</f>
        <v/>
      </c>
      <c r="B414" s="170"/>
      <c r="C414" s="184"/>
      <c r="D414" s="184" t="str">
        <f t="shared" si="12"/>
        <v/>
      </c>
      <c r="E414" s="170" t="str">
        <f t="shared" si="13"/>
        <v/>
      </c>
      <c r="F414" s="170"/>
      <c r="G414" s="170"/>
      <c r="H414" s="170"/>
      <c r="I414" s="170"/>
      <c r="J414" s="170"/>
      <c r="K414" s="170"/>
      <c r="L414" s="170"/>
      <c r="M414" s="170"/>
      <c r="N414" s="170"/>
      <c r="O414" s="201"/>
    </row>
    <row r="415" spans="1:15" s="139" customFormat="1" ht="15.75">
      <c r="A415" s="205" t="str">
        <f>IF(ISNA(VLOOKUP(D415,'Standard Smelter Names'!$B$3:$E$153,4,FALSE)),"",VLOOKUP(D415,'Standard Smelter Names'!$B$3:$E$153,4,FALSE))</f>
        <v/>
      </c>
      <c r="B415" s="170"/>
      <c r="C415" s="184"/>
      <c r="D415" s="184" t="str">
        <f t="shared" si="12"/>
        <v/>
      </c>
      <c r="E415" s="170" t="str">
        <f t="shared" si="13"/>
        <v/>
      </c>
      <c r="F415" s="170"/>
      <c r="G415" s="170"/>
      <c r="H415" s="170"/>
      <c r="I415" s="170"/>
      <c r="J415" s="170"/>
      <c r="K415" s="170"/>
      <c r="L415" s="170"/>
      <c r="M415" s="170"/>
      <c r="N415" s="170"/>
      <c r="O415" s="201"/>
    </row>
    <row r="416" spans="1:15" s="139" customFormat="1" ht="15.75">
      <c r="A416" s="205" t="str">
        <f>IF(ISNA(VLOOKUP(D416,'Standard Smelter Names'!$B$3:$E$153,4,FALSE)),"",VLOOKUP(D416,'Standard Smelter Names'!$B$3:$E$153,4,FALSE))</f>
        <v/>
      </c>
      <c r="B416" s="170"/>
      <c r="C416" s="184"/>
      <c r="D416" s="184" t="str">
        <f t="shared" si="12"/>
        <v/>
      </c>
      <c r="E416" s="170" t="str">
        <f t="shared" si="13"/>
        <v/>
      </c>
      <c r="F416" s="170"/>
      <c r="G416" s="170"/>
      <c r="H416" s="170"/>
      <c r="I416" s="170"/>
      <c r="J416" s="170"/>
      <c r="K416" s="170"/>
      <c r="L416" s="170"/>
      <c r="M416" s="170"/>
      <c r="N416" s="170"/>
      <c r="O416" s="201"/>
    </row>
    <row r="417" spans="1:15" s="139" customFormat="1" ht="15.75">
      <c r="A417" s="205" t="str">
        <f>IF(ISNA(VLOOKUP(D417,'Standard Smelter Names'!$B$3:$E$153,4,FALSE)),"",VLOOKUP(D417,'Standard Smelter Names'!$B$3:$E$153,4,FALSE))</f>
        <v/>
      </c>
      <c r="B417" s="170"/>
      <c r="C417" s="184"/>
      <c r="D417" s="184" t="str">
        <f t="shared" si="12"/>
        <v/>
      </c>
      <c r="E417" s="170" t="str">
        <f t="shared" si="13"/>
        <v/>
      </c>
      <c r="F417" s="170"/>
      <c r="G417" s="170"/>
      <c r="H417" s="170"/>
      <c r="I417" s="170"/>
      <c r="J417" s="170"/>
      <c r="K417" s="170"/>
      <c r="L417" s="170"/>
      <c r="M417" s="170"/>
      <c r="N417" s="170"/>
      <c r="O417" s="201"/>
    </row>
    <row r="418" spans="1:15" s="139" customFormat="1" ht="15.75">
      <c r="A418" s="205" t="str">
        <f>IF(ISNA(VLOOKUP(D418,'Standard Smelter Names'!$B$3:$E$153,4,FALSE)),"",VLOOKUP(D418,'Standard Smelter Names'!$B$3:$E$153,4,FALSE))</f>
        <v/>
      </c>
      <c r="B418" s="170"/>
      <c r="C418" s="184"/>
      <c r="D418" s="184" t="str">
        <f t="shared" si="12"/>
        <v/>
      </c>
      <c r="E418" s="170" t="str">
        <f t="shared" si="13"/>
        <v/>
      </c>
      <c r="F418" s="170"/>
      <c r="G418" s="170"/>
      <c r="H418" s="170"/>
      <c r="I418" s="170"/>
      <c r="J418" s="170"/>
      <c r="K418" s="170"/>
      <c r="L418" s="170"/>
      <c r="M418" s="170"/>
      <c r="N418" s="170"/>
      <c r="O418" s="201"/>
    </row>
    <row r="419" spans="1:15" s="139" customFormat="1" ht="15.75">
      <c r="A419" s="205" t="str">
        <f>IF(ISNA(VLOOKUP(D419,'Standard Smelter Names'!$B$3:$E$153,4,FALSE)),"",VLOOKUP(D419,'Standard Smelter Names'!$B$3:$E$153,4,FALSE))</f>
        <v/>
      </c>
      <c r="B419" s="170"/>
      <c r="C419" s="184"/>
      <c r="D419" s="184" t="str">
        <f t="shared" si="12"/>
        <v/>
      </c>
      <c r="E419" s="170" t="str">
        <f t="shared" si="13"/>
        <v/>
      </c>
      <c r="F419" s="170"/>
      <c r="G419" s="170"/>
      <c r="H419" s="170"/>
      <c r="I419" s="170"/>
      <c r="J419" s="170"/>
      <c r="K419" s="170"/>
      <c r="L419" s="170"/>
      <c r="M419" s="170"/>
      <c r="N419" s="170"/>
      <c r="O419" s="201"/>
    </row>
    <row r="420" spans="1:15" s="139" customFormat="1" ht="15.75">
      <c r="A420" s="205" t="str">
        <f>IF(ISNA(VLOOKUP(D420,'Standard Smelter Names'!$B$3:$E$153,4,FALSE)),"",VLOOKUP(D420,'Standard Smelter Names'!$B$3:$E$153,4,FALSE))</f>
        <v/>
      </c>
      <c r="B420" s="170"/>
      <c r="C420" s="184"/>
      <c r="D420" s="184" t="str">
        <f t="shared" si="12"/>
        <v/>
      </c>
      <c r="E420" s="170" t="str">
        <f t="shared" si="13"/>
        <v/>
      </c>
      <c r="F420" s="170"/>
      <c r="G420" s="170"/>
      <c r="H420" s="170"/>
      <c r="I420" s="170"/>
      <c r="J420" s="170"/>
      <c r="K420" s="170"/>
      <c r="L420" s="170"/>
      <c r="M420" s="170"/>
      <c r="N420" s="170"/>
      <c r="O420" s="201"/>
    </row>
    <row r="421" spans="1:15" s="139" customFormat="1" ht="15.75">
      <c r="A421" s="205" t="str">
        <f>IF(ISNA(VLOOKUP(D421,'Standard Smelter Names'!$B$3:$E$153,4,FALSE)),"",VLOOKUP(D421,'Standard Smelter Names'!$B$3:$E$153,4,FALSE))</f>
        <v/>
      </c>
      <c r="B421" s="170"/>
      <c r="C421" s="184"/>
      <c r="D421" s="184" t="str">
        <f t="shared" si="12"/>
        <v/>
      </c>
      <c r="E421" s="170" t="str">
        <f t="shared" si="13"/>
        <v/>
      </c>
      <c r="F421" s="170"/>
      <c r="G421" s="170"/>
      <c r="H421" s="170"/>
      <c r="I421" s="170"/>
      <c r="J421" s="170"/>
      <c r="K421" s="170"/>
      <c r="L421" s="170"/>
      <c r="M421" s="170"/>
      <c r="N421" s="170"/>
      <c r="O421" s="201"/>
    </row>
    <row r="422" spans="1:15" s="139" customFormat="1" ht="15.75">
      <c r="A422" s="205" t="str">
        <f>IF(ISNA(VLOOKUP(D422,'Standard Smelter Names'!$B$3:$E$153,4,FALSE)),"",VLOOKUP(D422,'Standard Smelter Names'!$B$3:$E$153,4,FALSE))</f>
        <v/>
      </c>
      <c r="B422" s="170"/>
      <c r="C422" s="184"/>
      <c r="D422" s="184" t="str">
        <f t="shared" si="12"/>
        <v/>
      </c>
      <c r="E422" s="170" t="str">
        <f t="shared" si="13"/>
        <v/>
      </c>
      <c r="F422" s="170"/>
      <c r="G422" s="170"/>
      <c r="H422" s="170"/>
      <c r="I422" s="170"/>
      <c r="J422" s="170"/>
      <c r="K422" s="170"/>
      <c r="L422" s="170"/>
      <c r="M422" s="170"/>
      <c r="N422" s="170"/>
      <c r="O422" s="201"/>
    </row>
    <row r="423" spans="1:15" s="139" customFormat="1" ht="15.75">
      <c r="A423" s="205" t="str">
        <f>IF(ISNA(VLOOKUP(D423,'Standard Smelter Names'!$B$3:$E$153,4,FALSE)),"",VLOOKUP(D423,'Standard Smelter Names'!$B$3:$E$153,4,FALSE))</f>
        <v/>
      </c>
      <c r="B423" s="170"/>
      <c r="C423" s="184"/>
      <c r="D423" s="184" t="str">
        <f t="shared" si="12"/>
        <v/>
      </c>
      <c r="E423" s="170" t="str">
        <f t="shared" si="13"/>
        <v/>
      </c>
      <c r="F423" s="170"/>
      <c r="G423" s="170"/>
      <c r="H423" s="170"/>
      <c r="I423" s="170"/>
      <c r="J423" s="170"/>
      <c r="K423" s="170"/>
      <c r="L423" s="170"/>
      <c r="M423" s="170"/>
      <c r="N423" s="170"/>
      <c r="O423" s="201"/>
    </row>
    <row r="424" spans="1:15" s="139" customFormat="1" ht="15.75">
      <c r="A424" s="205" t="str">
        <f>IF(ISNA(VLOOKUP(D424,'Standard Smelter Names'!$B$3:$E$153,4,FALSE)),"",VLOOKUP(D424,'Standard Smelter Names'!$B$3:$E$153,4,FALSE))</f>
        <v/>
      </c>
      <c r="B424" s="170"/>
      <c r="C424" s="184"/>
      <c r="D424" s="184" t="str">
        <f t="shared" si="12"/>
        <v/>
      </c>
      <c r="E424" s="170" t="str">
        <f t="shared" si="13"/>
        <v/>
      </c>
      <c r="F424" s="170"/>
      <c r="G424" s="170"/>
      <c r="H424" s="170"/>
      <c r="I424" s="170"/>
      <c r="J424" s="170"/>
      <c r="K424" s="170"/>
      <c r="L424" s="170"/>
      <c r="M424" s="170"/>
      <c r="N424" s="170"/>
      <c r="O424" s="201"/>
    </row>
    <row r="425" spans="1:15" s="139" customFormat="1" ht="15.75">
      <c r="A425" s="205" t="str">
        <f>IF(ISNA(VLOOKUP(D425,'Standard Smelter Names'!$B$3:$E$153,4,FALSE)),"",VLOOKUP(D425,'Standard Smelter Names'!$B$3:$E$153,4,FALSE))</f>
        <v/>
      </c>
      <c r="B425" s="170"/>
      <c r="C425" s="184"/>
      <c r="D425" s="184" t="str">
        <f t="shared" si="12"/>
        <v/>
      </c>
      <c r="E425" s="170" t="str">
        <f t="shared" si="13"/>
        <v/>
      </c>
      <c r="F425" s="170"/>
      <c r="G425" s="170"/>
      <c r="H425" s="170"/>
      <c r="I425" s="170"/>
      <c r="J425" s="170"/>
      <c r="K425" s="170"/>
      <c r="L425" s="170"/>
      <c r="M425" s="170"/>
      <c r="N425" s="170"/>
      <c r="O425" s="201"/>
    </row>
    <row r="426" spans="1:15" s="139" customFormat="1" ht="15.75">
      <c r="A426" s="205" t="str">
        <f>IF(ISNA(VLOOKUP(D426,'Standard Smelter Names'!$B$3:$E$153,4,FALSE)),"",VLOOKUP(D426,'Standard Smelter Names'!$B$3:$E$153,4,FALSE))</f>
        <v/>
      </c>
      <c r="B426" s="170"/>
      <c r="C426" s="184"/>
      <c r="D426" s="184" t="str">
        <f t="shared" si="12"/>
        <v/>
      </c>
      <c r="E426" s="170" t="str">
        <f t="shared" si="13"/>
        <v/>
      </c>
      <c r="F426" s="170"/>
      <c r="G426" s="170"/>
      <c r="H426" s="170"/>
      <c r="I426" s="170"/>
      <c r="J426" s="170"/>
      <c r="K426" s="170"/>
      <c r="L426" s="170"/>
      <c r="M426" s="170"/>
      <c r="N426" s="170"/>
      <c r="O426" s="201"/>
    </row>
    <row r="427" spans="1:15" s="139" customFormat="1" ht="15.75">
      <c r="A427" s="205" t="str">
        <f>IF(ISNA(VLOOKUP(D427,'Standard Smelter Names'!$B$3:$E$153,4,FALSE)),"",VLOOKUP(D427,'Standard Smelter Names'!$B$3:$E$153,4,FALSE))</f>
        <v/>
      </c>
      <c r="B427" s="170"/>
      <c r="C427" s="184"/>
      <c r="D427" s="184" t="str">
        <f t="shared" si="12"/>
        <v/>
      </c>
      <c r="E427" s="170" t="str">
        <f t="shared" si="13"/>
        <v/>
      </c>
      <c r="F427" s="170"/>
      <c r="G427" s="170"/>
      <c r="H427" s="170"/>
      <c r="I427" s="170"/>
      <c r="J427" s="170"/>
      <c r="K427" s="170"/>
      <c r="L427" s="170"/>
      <c r="M427" s="170"/>
      <c r="N427" s="170"/>
      <c r="O427" s="201"/>
    </row>
    <row r="428" spans="1:15" s="139" customFormat="1" ht="15.75">
      <c r="A428" s="205" t="str">
        <f>IF(ISNA(VLOOKUP(D428,'Standard Smelter Names'!$B$3:$E$153,4,FALSE)),"",VLOOKUP(D428,'Standard Smelter Names'!$B$3:$E$153,4,FALSE))</f>
        <v/>
      </c>
      <c r="B428" s="170"/>
      <c r="C428" s="184"/>
      <c r="D428" s="184" t="str">
        <f t="shared" si="12"/>
        <v/>
      </c>
      <c r="E428" s="170" t="str">
        <f t="shared" si="13"/>
        <v/>
      </c>
      <c r="F428" s="170"/>
      <c r="G428" s="170"/>
      <c r="H428" s="170"/>
      <c r="I428" s="170"/>
      <c r="J428" s="170"/>
      <c r="K428" s="170"/>
      <c r="L428" s="170"/>
      <c r="M428" s="170"/>
      <c r="N428" s="170"/>
      <c r="O428" s="201"/>
    </row>
    <row r="429" spans="1:15" s="139" customFormat="1" ht="15.75">
      <c r="A429" s="205" t="str">
        <f>IF(ISNA(VLOOKUP(D429,'Standard Smelter Names'!$B$3:$E$153,4,FALSE)),"",VLOOKUP(D429,'Standard Smelter Names'!$B$3:$E$153,4,FALSE))</f>
        <v/>
      </c>
      <c r="B429" s="170"/>
      <c r="C429" s="184"/>
      <c r="D429" s="184" t="str">
        <f t="shared" si="12"/>
        <v/>
      </c>
      <c r="E429" s="170" t="str">
        <f t="shared" si="13"/>
        <v/>
      </c>
      <c r="F429" s="170"/>
      <c r="G429" s="170"/>
      <c r="H429" s="170"/>
      <c r="I429" s="170"/>
      <c r="J429" s="170"/>
      <c r="K429" s="170"/>
      <c r="L429" s="170"/>
      <c r="M429" s="170"/>
      <c r="N429" s="170"/>
      <c r="O429" s="201"/>
    </row>
    <row r="430" spans="1:15" s="139" customFormat="1" ht="15.75">
      <c r="A430" s="205" t="str">
        <f>IF(ISNA(VLOOKUP(D430,'Standard Smelter Names'!$B$3:$E$153,4,FALSE)),"",VLOOKUP(D430,'Standard Smelter Names'!$B$3:$E$153,4,FALSE))</f>
        <v/>
      </c>
      <c r="B430" s="170"/>
      <c r="C430" s="184"/>
      <c r="D430" s="184" t="str">
        <f t="shared" si="12"/>
        <v/>
      </c>
      <c r="E430" s="170" t="str">
        <f t="shared" si="13"/>
        <v/>
      </c>
      <c r="F430" s="170"/>
      <c r="G430" s="170"/>
      <c r="H430" s="170"/>
      <c r="I430" s="170"/>
      <c r="J430" s="170"/>
      <c r="K430" s="170"/>
      <c r="L430" s="170"/>
      <c r="M430" s="170"/>
      <c r="N430" s="170"/>
      <c r="O430" s="201"/>
    </row>
    <row r="431" spans="1:15" s="139" customFormat="1" ht="15.75">
      <c r="A431" s="205" t="str">
        <f>IF(ISNA(VLOOKUP(D431,'Standard Smelter Names'!$B$3:$E$153,4,FALSE)),"",VLOOKUP(D431,'Standard Smelter Names'!$B$3:$E$153,4,FALSE))</f>
        <v/>
      </c>
      <c r="B431" s="170"/>
      <c r="C431" s="184"/>
      <c r="D431" s="184" t="str">
        <f t="shared" si="12"/>
        <v/>
      </c>
      <c r="E431" s="170" t="str">
        <f t="shared" si="13"/>
        <v/>
      </c>
      <c r="F431" s="170"/>
      <c r="G431" s="170"/>
      <c r="H431" s="170"/>
      <c r="I431" s="170"/>
      <c r="J431" s="170"/>
      <c r="K431" s="170"/>
      <c r="L431" s="170"/>
      <c r="M431" s="170"/>
      <c r="N431" s="170"/>
      <c r="O431" s="201"/>
    </row>
    <row r="432" spans="1:15" s="139" customFormat="1" ht="15.75">
      <c r="A432" s="205" t="str">
        <f>IF(ISNA(VLOOKUP(D432,'Standard Smelter Names'!$B$3:$E$153,4,FALSE)),"",VLOOKUP(D432,'Standard Smelter Names'!$B$3:$E$153,4,FALSE))</f>
        <v/>
      </c>
      <c r="B432" s="170"/>
      <c r="C432" s="184"/>
      <c r="D432" s="184" t="str">
        <f t="shared" si="12"/>
        <v/>
      </c>
      <c r="E432" s="170" t="str">
        <f t="shared" si="13"/>
        <v/>
      </c>
      <c r="F432" s="170"/>
      <c r="G432" s="170"/>
      <c r="H432" s="170"/>
      <c r="I432" s="170"/>
      <c r="J432" s="170"/>
      <c r="K432" s="170"/>
      <c r="L432" s="170"/>
      <c r="M432" s="170"/>
      <c r="N432" s="170"/>
      <c r="O432" s="201"/>
    </row>
    <row r="433" spans="1:15" s="139" customFormat="1" ht="15.75">
      <c r="A433" s="205" t="str">
        <f>IF(ISNA(VLOOKUP(D433,'Standard Smelter Names'!$B$3:$E$153,4,FALSE)),"",VLOOKUP(D433,'Standard Smelter Names'!$B$3:$E$153,4,FALSE))</f>
        <v/>
      </c>
      <c r="B433" s="170"/>
      <c r="C433" s="184"/>
      <c r="D433" s="184" t="str">
        <f t="shared" si="12"/>
        <v/>
      </c>
      <c r="E433" s="170" t="str">
        <f t="shared" si="13"/>
        <v/>
      </c>
      <c r="F433" s="170"/>
      <c r="G433" s="170"/>
      <c r="H433" s="170"/>
      <c r="I433" s="170"/>
      <c r="J433" s="170"/>
      <c r="K433" s="170"/>
      <c r="L433" s="170"/>
      <c r="M433" s="170"/>
      <c r="N433" s="170"/>
      <c r="O433" s="201"/>
    </row>
    <row r="434" spans="1:15" s="139" customFormat="1" ht="15.75">
      <c r="A434" s="205" t="str">
        <f>IF(ISNA(VLOOKUP(D434,'Standard Smelter Names'!$B$3:$E$153,4,FALSE)),"",VLOOKUP(D434,'Standard Smelter Names'!$B$3:$E$153,4,FALSE))</f>
        <v/>
      </c>
      <c r="B434" s="170"/>
      <c r="C434" s="184"/>
      <c r="D434" s="184" t="str">
        <f t="shared" si="12"/>
        <v/>
      </c>
      <c r="E434" s="170" t="str">
        <f t="shared" si="13"/>
        <v/>
      </c>
      <c r="F434" s="170"/>
      <c r="G434" s="170"/>
      <c r="H434" s="170"/>
      <c r="I434" s="170"/>
      <c r="J434" s="170"/>
      <c r="K434" s="170"/>
      <c r="L434" s="170"/>
      <c r="M434" s="170"/>
      <c r="N434" s="170"/>
      <c r="O434" s="201"/>
    </row>
    <row r="435" spans="1:15" s="139" customFormat="1" ht="15.75">
      <c r="A435" s="205" t="str">
        <f>IF(ISNA(VLOOKUP(D435,'Standard Smelter Names'!$B$3:$E$153,4,FALSE)),"",VLOOKUP(D435,'Standard Smelter Names'!$B$3:$E$153,4,FALSE))</f>
        <v/>
      </c>
      <c r="B435" s="170"/>
      <c r="C435" s="184"/>
      <c r="D435" s="184" t="str">
        <f t="shared" si="12"/>
        <v/>
      </c>
      <c r="E435" s="170" t="str">
        <f t="shared" si="13"/>
        <v/>
      </c>
      <c r="F435" s="170"/>
      <c r="G435" s="170"/>
      <c r="H435" s="170"/>
      <c r="I435" s="170"/>
      <c r="J435" s="170"/>
      <c r="K435" s="170"/>
      <c r="L435" s="170"/>
      <c r="M435" s="170"/>
      <c r="N435" s="170"/>
      <c r="O435" s="201"/>
    </row>
    <row r="436" spans="1:15" s="139" customFormat="1" ht="15.75">
      <c r="A436" s="205" t="str">
        <f>IF(ISNA(VLOOKUP(D436,'Standard Smelter Names'!$B$3:$E$153,4,FALSE)),"",VLOOKUP(D436,'Standard Smelter Names'!$B$3:$E$153,4,FALSE))</f>
        <v/>
      </c>
      <c r="B436" s="170"/>
      <c r="C436" s="184"/>
      <c r="D436" s="184" t="str">
        <f t="shared" si="12"/>
        <v/>
      </c>
      <c r="E436" s="170" t="str">
        <f t="shared" si="13"/>
        <v/>
      </c>
      <c r="F436" s="170"/>
      <c r="G436" s="170"/>
      <c r="H436" s="170"/>
      <c r="I436" s="170"/>
      <c r="J436" s="170"/>
      <c r="K436" s="170"/>
      <c r="L436" s="170"/>
      <c r="M436" s="170"/>
      <c r="N436" s="170"/>
      <c r="O436" s="201"/>
    </row>
    <row r="437" spans="1:15" s="139" customFormat="1" ht="15.75">
      <c r="A437" s="205" t="str">
        <f>IF(ISNA(VLOOKUP(D437,'Standard Smelter Names'!$B$3:$E$153,4,FALSE)),"",VLOOKUP(D437,'Standard Smelter Names'!$B$3:$E$153,4,FALSE))</f>
        <v/>
      </c>
      <c r="B437" s="170"/>
      <c r="C437" s="184"/>
      <c r="D437" s="184" t="str">
        <f t="shared" si="12"/>
        <v/>
      </c>
      <c r="E437" s="170" t="str">
        <f t="shared" si="13"/>
        <v/>
      </c>
      <c r="F437" s="170"/>
      <c r="G437" s="170"/>
      <c r="H437" s="170"/>
      <c r="I437" s="170"/>
      <c r="J437" s="170"/>
      <c r="K437" s="170"/>
      <c r="L437" s="170"/>
      <c r="M437" s="170"/>
      <c r="N437" s="170"/>
      <c r="O437" s="201"/>
    </row>
    <row r="438" spans="1:15" s="139" customFormat="1" ht="15.75">
      <c r="A438" s="205" t="str">
        <f>IF(ISNA(VLOOKUP(D438,'Standard Smelter Names'!$B$3:$E$153,4,FALSE)),"",VLOOKUP(D438,'Standard Smelter Names'!$B$3:$E$153,4,FALSE))</f>
        <v/>
      </c>
      <c r="B438" s="170"/>
      <c r="C438" s="184"/>
      <c r="D438" s="184" t="str">
        <f t="shared" si="12"/>
        <v/>
      </c>
      <c r="E438" s="170" t="str">
        <f t="shared" si="13"/>
        <v/>
      </c>
      <c r="F438" s="170"/>
      <c r="G438" s="170"/>
      <c r="H438" s="170"/>
      <c r="I438" s="170"/>
      <c r="J438" s="170"/>
      <c r="K438" s="170"/>
      <c r="L438" s="170"/>
      <c r="M438" s="170"/>
      <c r="N438" s="170"/>
      <c r="O438" s="201"/>
    </row>
    <row r="439" spans="1:15" s="139" customFormat="1" ht="15.75">
      <c r="A439" s="205" t="str">
        <f>IF(ISNA(VLOOKUP(D439,'Standard Smelter Names'!$B$3:$E$153,4,FALSE)),"",VLOOKUP(D439,'Standard Smelter Names'!$B$3:$E$153,4,FALSE))</f>
        <v/>
      </c>
      <c r="B439" s="170"/>
      <c r="C439" s="184"/>
      <c r="D439" s="184" t="str">
        <f t="shared" si="12"/>
        <v/>
      </c>
      <c r="E439" s="170" t="str">
        <f t="shared" si="13"/>
        <v/>
      </c>
      <c r="F439" s="170"/>
      <c r="G439" s="170"/>
      <c r="H439" s="170"/>
      <c r="I439" s="170"/>
      <c r="J439" s="170"/>
      <c r="K439" s="170"/>
      <c r="L439" s="170"/>
      <c r="M439" s="170"/>
      <c r="N439" s="170"/>
      <c r="O439" s="201"/>
    </row>
    <row r="440" spans="1:15" s="139" customFormat="1" ht="15.75">
      <c r="A440" s="205" t="str">
        <f>IF(ISNA(VLOOKUP(D440,'Standard Smelter Names'!$B$3:$E$153,4,FALSE)),"",VLOOKUP(D440,'Standard Smelter Names'!$B$3:$E$153,4,FALSE))</f>
        <v/>
      </c>
      <c r="B440" s="170"/>
      <c r="C440" s="184"/>
      <c r="D440" s="184" t="str">
        <f t="shared" si="12"/>
        <v/>
      </c>
      <c r="E440" s="170" t="str">
        <f t="shared" si="13"/>
        <v/>
      </c>
      <c r="F440" s="170"/>
      <c r="G440" s="170"/>
      <c r="H440" s="170"/>
      <c r="I440" s="170"/>
      <c r="J440" s="170"/>
      <c r="K440" s="170"/>
      <c r="L440" s="170"/>
      <c r="M440" s="170"/>
      <c r="N440" s="170"/>
      <c r="O440" s="201"/>
    </row>
    <row r="441" spans="1:15" s="139" customFormat="1" ht="15.75">
      <c r="A441" s="205" t="str">
        <f>IF(ISNA(VLOOKUP(D441,'Standard Smelter Names'!$B$3:$E$153,4,FALSE)),"",VLOOKUP(D441,'Standard Smelter Names'!$B$3:$E$153,4,FALSE))</f>
        <v/>
      </c>
      <c r="B441" s="170"/>
      <c r="C441" s="184"/>
      <c r="D441" s="184" t="str">
        <f t="shared" si="12"/>
        <v/>
      </c>
      <c r="E441" s="170" t="str">
        <f t="shared" si="13"/>
        <v/>
      </c>
      <c r="F441" s="170"/>
      <c r="G441" s="170"/>
      <c r="H441" s="170"/>
      <c r="I441" s="170"/>
      <c r="J441" s="170"/>
      <c r="K441" s="170"/>
      <c r="L441" s="170"/>
      <c r="M441" s="170"/>
      <c r="N441" s="170"/>
      <c r="O441" s="201"/>
    </row>
    <row r="442" spans="1:15" s="139" customFormat="1" ht="15.75">
      <c r="A442" s="205" t="str">
        <f>IF(ISNA(VLOOKUP(D442,'Standard Smelter Names'!$B$3:$E$153,4,FALSE)),"",VLOOKUP(D442,'Standard Smelter Names'!$B$3:$E$153,4,FALSE))</f>
        <v/>
      </c>
      <c r="B442" s="170"/>
      <c r="C442" s="184"/>
      <c r="D442" s="184" t="str">
        <f t="shared" si="12"/>
        <v/>
      </c>
      <c r="E442" s="170" t="str">
        <f t="shared" si="13"/>
        <v/>
      </c>
      <c r="F442" s="170"/>
      <c r="G442" s="170"/>
      <c r="H442" s="170"/>
      <c r="I442" s="170"/>
      <c r="J442" s="170"/>
      <c r="K442" s="170"/>
      <c r="L442" s="170"/>
      <c r="M442" s="170"/>
      <c r="N442" s="170"/>
      <c r="O442" s="201"/>
    </row>
    <row r="443" spans="1:15" s="139" customFormat="1" ht="15.75">
      <c r="A443" s="205" t="str">
        <f>IF(ISNA(VLOOKUP(D443,'Standard Smelter Names'!$B$3:$E$153,4,FALSE)),"",VLOOKUP(D443,'Standard Smelter Names'!$B$3:$E$153,4,FALSE))</f>
        <v/>
      </c>
      <c r="B443" s="170"/>
      <c r="C443" s="184"/>
      <c r="D443" s="184" t="str">
        <f t="shared" si="12"/>
        <v/>
      </c>
      <c r="E443" s="170" t="str">
        <f t="shared" si="13"/>
        <v/>
      </c>
      <c r="F443" s="170"/>
      <c r="G443" s="170"/>
      <c r="H443" s="170"/>
      <c r="I443" s="170"/>
      <c r="J443" s="170"/>
      <c r="K443" s="170"/>
      <c r="L443" s="170"/>
      <c r="M443" s="170"/>
      <c r="N443" s="170"/>
      <c r="O443" s="201"/>
    </row>
    <row r="444" spans="1:15" s="139" customFormat="1" ht="15.75">
      <c r="A444" s="205" t="str">
        <f>IF(ISNA(VLOOKUP(D444,'Standard Smelter Names'!$B$3:$E$153,4,FALSE)),"",VLOOKUP(D444,'Standard Smelter Names'!$B$3:$E$153,4,FALSE))</f>
        <v/>
      </c>
      <c r="B444" s="170"/>
      <c r="C444" s="184"/>
      <c r="D444" s="184" t="str">
        <f t="shared" si="12"/>
        <v/>
      </c>
      <c r="E444" s="170" t="str">
        <f t="shared" si="13"/>
        <v/>
      </c>
      <c r="F444" s="170"/>
      <c r="G444" s="170"/>
      <c r="H444" s="170"/>
      <c r="I444" s="170"/>
      <c r="J444" s="170"/>
      <c r="K444" s="170"/>
      <c r="L444" s="170"/>
      <c r="M444" s="170"/>
      <c r="N444" s="170"/>
      <c r="O444" s="201"/>
    </row>
    <row r="445" spans="1:15" s="139" customFormat="1" ht="15.75">
      <c r="A445" s="205" t="str">
        <f>IF(ISNA(VLOOKUP(D445,'Standard Smelter Names'!$B$3:$E$153,4,FALSE)),"",VLOOKUP(D445,'Standard Smelter Names'!$B$3:$E$153,4,FALSE))</f>
        <v/>
      </c>
      <c r="B445" s="170"/>
      <c r="C445" s="184"/>
      <c r="D445" s="184" t="str">
        <f t="shared" si="12"/>
        <v/>
      </c>
      <c r="E445" s="170" t="str">
        <f t="shared" si="13"/>
        <v/>
      </c>
      <c r="F445" s="170"/>
      <c r="G445" s="170"/>
      <c r="H445" s="170"/>
      <c r="I445" s="170"/>
      <c r="J445" s="170"/>
      <c r="K445" s="170"/>
      <c r="L445" s="170"/>
      <c r="M445" s="170"/>
      <c r="N445" s="170"/>
      <c r="O445" s="201"/>
    </row>
    <row r="446" spans="1:15" s="139" customFormat="1" ht="15.75">
      <c r="A446" s="205" t="str">
        <f>IF(ISNA(VLOOKUP(D446,'Standard Smelter Names'!$B$3:$E$153,4,FALSE)),"",VLOOKUP(D446,'Standard Smelter Names'!$B$3:$E$153,4,FALSE))</f>
        <v/>
      </c>
      <c r="B446" s="170"/>
      <c r="C446" s="184"/>
      <c r="D446" s="184" t="str">
        <f t="shared" si="12"/>
        <v/>
      </c>
      <c r="E446" s="170" t="str">
        <f t="shared" si="13"/>
        <v/>
      </c>
      <c r="F446" s="170"/>
      <c r="G446" s="170"/>
      <c r="H446" s="170"/>
      <c r="I446" s="170"/>
      <c r="J446" s="170"/>
      <c r="K446" s="170"/>
      <c r="L446" s="170"/>
      <c r="M446" s="170"/>
      <c r="N446" s="170"/>
      <c r="O446" s="201"/>
    </row>
    <row r="447" spans="1:15" s="139" customFormat="1" ht="15.75">
      <c r="A447" s="205" t="str">
        <f>IF(ISNA(VLOOKUP(D447,'Standard Smelter Names'!$B$3:$E$153,4,FALSE)),"",VLOOKUP(D447,'Standard Smelter Names'!$B$3:$E$153,4,FALSE))</f>
        <v/>
      </c>
      <c r="B447" s="170"/>
      <c r="C447" s="184"/>
      <c r="D447" s="184" t="str">
        <f t="shared" si="12"/>
        <v/>
      </c>
      <c r="E447" s="170" t="str">
        <f t="shared" si="13"/>
        <v/>
      </c>
      <c r="F447" s="170"/>
      <c r="G447" s="170"/>
      <c r="H447" s="170"/>
      <c r="I447" s="170"/>
      <c r="J447" s="170"/>
      <c r="K447" s="170"/>
      <c r="L447" s="170"/>
      <c r="M447" s="170"/>
      <c r="N447" s="170"/>
      <c r="O447" s="201"/>
    </row>
    <row r="448" spans="1:15" s="139" customFormat="1" ht="15.75">
      <c r="A448" s="205" t="str">
        <f>IF(ISNA(VLOOKUP(D448,'Standard Smelter Names'!$B$3:$E$153,4,FALSE)),"",VLOOKUP(D448,'Standard Smelter Names'!$B$3:$E$153,4,FALSE))</f>
        <v/>
      </c>
      <c r="B448" s="170"/>
      <c r="C448" s="184"/>
      <c r="D448" s="184" t="str">
        <f t="shared" si="12"/>
        <v/>
      </c>
      <c r="E448" s="170" t="str">
        <f t="shared" si="13"/>
        <v/>
      </c>
      <c r="F448" s="170"/>
      <c r="G448" s="170"/>
      <c r="H448" s="170"/>
      <c r="I448" s="170"/>
      <c r="J448" s="170"/>
      <c r="K448" s="170"/>
      <c r="L448" s="170"/>
      <c r="M448" s="170"/>
      <c r="N448" s="170"/>
      <c r="O448" s="201"/>
    </row>
    <row r="449" spans="1:15" s="139" customFormat="1" ht="15.75">
      <c r="A449" s="205" t="str">
        <f>IF(ISNA(VLOOKUP(D449,'Standard Smelter Names'!$B$3:$E$153,4,FALSE)),"",VLOOKUP(D449,'Standard Smelter Names'!$B$3:$E$153,4,FALSE))</f>
        <v/>
      </c>
      <c r="B449" s="170"/>
      <c r="C449" s="184"/>
      <c r="D449" s="184" t="str">
        <f t="shared" si="12"/>
        <v/>
      </c>
      <c r="E449" s="170" t="str">
        <f t="shared" si="13"/>
        <v/>
      </c>
      <c r="F449" s="170"/>
      <c r="G449" s="170"/>
      <c r="H449" s="170"/>
      <c r="I449" s="170"/>
      <c r="J449" s="170"/>
      <c r="K449" s="170"/>
      <c r="L449" s="170"/>
      <c r="M449" s="170"/>
      <c r="N449" s="170"/>
      <c r="O449" s="201"/>
    </row>
    <row r="450" spans="1:15" s="139" customFormat="1" ht="15.75">
      <c r="A450" s="205" t="str">
        <f>IF(ISNA(VLOOKUP(D450,'Standard Smelter Names'!$B$3:$E$153,4,FALSE)),"",VLOOKUP(D450,'Standard Smelter Names'!$B$3:$E$153,4,FALSE))</f>
        <v/>
      </c>
      <c r="B450" s="170"/>
      <c r="C450" s="184"/>
      <c r="D450" s="184" t="str">
        <f t="shared" si="12"/>
        <v/>
      </c>
      <c r="E450" s="170" t="str">
        <f t="shared" si="13"/>
        <v/>
      </c>
      <c r="F450" s="170"/>
      <c r="G450" s="170"/>
      <c r="H450" s="170"/>
      <c r="I450" s="170"/>
      <c r="J450" s="170"/>
      <c r="K450" s="170"/>
      <c r="L450" s="170"/>
      <c r="M450" s="170"/>
      <c r="N450" s="170"/>
      <c r="O450" s="201"/>
    </row>
    <row r="451" spans="1:15" s="139" customFormat="1" ht="15.75">
      <c r="A451" s="205" t="str">
        <f>IF(ISNA(VLOOKUP(D451,'Standard Smelter Names'!$B$3:$E$153,4,FALSE)),"",VLOOKUP(D451,'Standard Smelter Names'!$B$3:$E$153,4,FALSE))</f>
        <v/>
      </c>
      <c r="B451" s="170"/>
      <c r="C451" s="184"/>
      <c r="D451" s="184" t="str">
        <f t="shared" si="12"/>
        <v/>
      </c>
      <c r="E451" s="170" t="str">
        <f t="shared" si="13"/>
        <v/>
      </c>
      <c r="F451" s="170"/>
      <c r="G451" s="170"/>
      <c r="H451" s="170"/>
      <c r="I451" s="170"/>
      <c r="J451" s="170"/>
      <c r="K451" s="170"/>
      <c r="L451" s="170"/>
      <c r="M451" s="170"/>
      <c r="N451" s="170"/>
      <c r="O451" s="201"/>
    </row>
    <row r="452" spans="1:15" s="139" customFormat="1" ht="15.75">
      <c r="A452" s="205" t="str">
        <f>IF(ISNA(VLOOKUP(D452,'Standard Smelter Names'!$B$3:$E$153,4,FALSE)),"",VLOOKUP(D452,'Standard Smelter Names'!$B$3:$E$153,4,FALSE))</f>
        <v/>
      </c>
      <c r="B452" s="170"/>
      <c r="C452" s="184"/>
      <c r="D452" s="184" t="str">
        <f t="shared" si="12"/>
        <v/>
      </c>
      <c r="E452" s="170" t="str">
        <f t="shared" si="13"/>
        <v/>
      </c>
      <c r="F452" s="170"/>
      <c r="G452" s="170"/>
      <c r="H452" s="170"/>
      <c r="I452" s="170"/>
      <c r="J452" s="170"/>
      <c r="K452" s="170"/>
      <c r="L452" s="170"/>
      <c r="M452" s="170"/>
      <c r="N452" s="170"/>
      <c r="O452" s="201"/>
    </row>
    <row r="453" spans="1:15" s="139" customFormat="1" ht="15.75">
      <c r="A453" s="205" t="str">
        <f>IF(ISNA(VLOOKUP(D453,'Standard Smelter Names'!$B$3:$E$153,4,FALSE)),"",VLOOKUP(D453,'Standard Smelter Names'!$B$3:$E$153,4,FALSE))</f>
        <v/>
      </c>
      <c r="B453" s="170"/>
      <c r="C453" s="184"/>
      <c r="D453" s="184" t="str">
        <f t="shared" ref="D453:D516" si="14">IF(ISNA(VLOOKUP(C453,$G$1023:$I$1309,3,FALSE)),"",VLOOKUP(C453,$G$1023:$I$1309,3,FALSE))</f>
        <v/>
      </c>
      <c r="E453" s="170" t="str">
        <f t="shared" ref="E453:E516" si="15">IF(ISNA(VLOOKUP(C453,$G$1023:$I$1309,2,FALSE)),"",VLOOKUP(C453,$G$1023:$I$1309,2,FALSE))</f>
        <v/>
      </c>
      <c r="F453" s="170"/>
      <c r="G453" s="170"/>
      <c r="H453" s="170"/>
      <c r="I453" s="170"/>
      <c r="J453" s="170"/>
      <c r="K453" s="170"/>
      <c r="L453" s="170"/>
      <c r="M453" s="170"/>
      <c r="N453" s="170"/>
      <c r="O453" s="201"/>
    </row>
    <row r="454" spans="1:15" s="139" customFormat="1" ht="15.75">
      <c r="A454" s="205" t="str">
        <f>IF(ISNA(VLOOKUP(D454,'Standard Smelter Names'!$B$3:$E$153,4,FALSE)),"",VLOOKUP(D454,'Standard Smelter Names'!$B$3:$E$153,4,FALSE))</f>
        <v/>
      </c>
      <c r="B454" s="170"/>
      <c r="C454" s="184"/>
      <c r="D454" s="184" t="str">
        <f t="shared" si="14"/>
        <v/>
      </c>
      <c r="E454" s="170" t="str">
        <f t="shared" si="15"/>
        <v/>
      </c>
      <c r="F454" s="170"/>
      <c r="G454" s="170"/>
      <c r="H454" s="170"/>
      <c r="I454" s="170"/>
      <c r="J454" s="170"/>
      <c r="K454" s="170"/>
      <c r="L454" s="170"/>
      <c r="M454" s="170"/>
      <c r="N454" s="170"/>
      <c r="O454" s="201"/>
    </row>
    <row r="455" spans="1:15" s="139" customFormat="1" ht="15.75">
      <c r="A455" s="205" t="str">
        <f>IF(ISNA(VLOOKUP(D455,'Standard Smelter Names'!$B$3:$E$153,4,FALSE)),"",VLOOKUP(D455,'Standard Smelter Names'!$B$3:$E$153,4,FALSE))</f>
        <v/>
      </c>
      <c r="B455" s="170"/>
      <c r="C455" s="184"/>
      <c r="D455" s="184" t="str">
        <f t="shared" si="14"/>
        <v/>
      </c>
      <c r="E455" s="170" t="str">
        <f t="shared" si="15"/>
        <v/>
      </c>
      <c r="F455" s="170"/>
      <c r="G455" s="170"/>
      <c r="H455" s="170"/>
      <c r="I455" s="170"/>
      <c r="J455" s="170"/>
      <c r="K455" s="170"/>
      <c r="L455" s="170"/>
      <c r="M455" s="170"/>
      <c r="N455" s="170"/>
      <c r="O455" s="201"/>
    </row>
    <row r="456" spans="1:15" s="139" customFormat="1" ht="15.75">
      <c r="A456" s="205" t="str">
        <f>IF(ISNA(VLOOKUP(D456,'Standard Smelter Names'!$B$3:$E$153,4,FALSE)),"",VLOOKUP(D456,'Standard Smelter Names'!$B$3:$E$153,4,FALSE))</f>
        <v/>
      </c>
      <c r="B456" s="170"/>
      <c r="C456" s="184"/>
      <c r="D456" s="184" t="str">
        <f t="shared" si="14"/>
        <v/>
      </c>
      <c r="E456" s="170" t="str">
        <f t="shared" si="15"/>
        <v/>
      </c>
      <c r="F456" s="170"/>
      <c r="G456" s="170"/>
      <c r="H456" s="170"/>
      <c r="I456" s="170"/>
      <c r="J456" s="170"/>
      <c r="K456" s="170"/>
      <c r="L456" s="170"/>
      <c r="M456" s="170"/>
      <c r="N456" s="170"/>
      <c r="O456" s="201"/>
    </row>
    <row r="457" spans="1:15" s="139" customFormat="1" ht="15.75">
      <c r="A457" s="205" t="str">
        <f>IF(ISNA(VLOOKUP(D457,'Standard Smelter Names'!$B$3:$E$153,4,FALSE)),"",VLOOKUP(D457,'Standard Smelter Names'!$B$3:$E$153,4,FALSE))</f>
        <v/>
      </c>
      <c r="B457" s="170"/>
      <c r="C457" s="184"/>
      <c r="D457" s="184" t="str">
        <f t="shared" si="14"/>
        <v/>
      </c>
      <c r="E457" s="170" t="str">
        <f t="shared" si="15"/>
        <v/>
      </c>
      <c r="F457" s="170"/>
      <c r="G457" s="170"/>
      <c r="H457" s="170"/>
      <c r="I457" s="170"/>
      <c r="J457" s="170"/>
      <c r="K457" s="170"/>
      <c r="L457" s="170"/>
      <c r="M457" s="170"/>
      <c r="N457" s="170"/>
      <c r="O457" s="201"/>
    </row>
    <row r="458" spans="1:15" s="139" customFormat="1" ht="15.75">
      <c r="A458" s="205" t="str">
        <f>IF(ISNA(VLOOKUP(D458,'Standard Smelter Names'!$B$3:$E$153,4,FALSE)),"",VLOOKUP(D458,'Standard Smelter Names'!$B$3:$E$153,4,FALSE))</f>
        <v/>
      </c>
      <c r="B458" s="170"/>
      <c r="C458" s="184"/>
      <c r="D458" s="184" t="str">
        <f t="shared" si="14"/>
        <v/>
      </c>
      <c r="E458" s="170" t="str">
        <f t="shared" si="15"/>
        <v/>
      </c>
      <c r="F458" s="170"/>
      <c r="G458" s="170"/>
      <c r="H458" s="170"/>
      <c r="I458" s="170"/>
      <c r="J458" s="170"/>
      <c r="K458" s="170"/>
      <c r="L458" s="170"/>
      <c r="M458" s="170"/>
      <c r="N458" s="170"/>
      <c r="O458" s="201"/>
    </row>
    <row r="459" spans="1:15" s="139" customFormat="1" ht="15.75">
      <c r="A459" s="205" t="str">
        <f>IF(ISNA(VLOOKUP(D459,'Standard Smelter Names'!$B$3:$E$153,4,FALSE)),"",VLOOKUP(D459,'Standard Smelter Names'!$B$3:$E$153,4,FALSE))</f>
        <v/>
      </c>
      <c r="B459" s="170"/>
      <c r="C459" s="184"/>
      <c r="D459" s="184" t="str">
        <f t="shared" si="14"/>
        <v/>
      </c>
      <c r="E459" s="170" t="str">
        <f t="shared" si="15"/>
        <v/>
      </c>
      <c r="F459" s="170"/>
      <c r="G459" s="170"/>
      <c r="H459" s="170"/>
      <c r="I459" s="170"/>
      <c r="J459" s="170"/>
      <c r="K459" s="170"/>
      <c r="L459" s="170"/>
      <c r="M459" s="170"/>
      <c r="N459" s="170"/>
      <c r="O459" s="201"/>
    </row>
    <row r="460" spans="1:15" s="139" customFormat="1" ht="15.75">
      <c r="A460" s="205" t="str">
        <f>IF(ISNA(VLOOKUP(D460,'Standard Smelter Names'!$B$3:$E$153,4,FALSE)),"",VLOOKUP(D460,'Standard Smelter Names'!$B$3:$E$153,4,FALSE))</f>
        <v/>
      </c>
      <c r="B460" s="170"/>
      <c r="C460" s="184"/>
      <c r="D460" s="184" t="str">
        <f t="shared" si="14"/>
        <v/>
      </c>
      <c r="E460" s="170" t="str">
        <f t="shared" si="15"/>
        <v/>
      </c>
      <c r="F460" s="170"/>
      <c r="G460" s="170"/>
      <c r="H460" s="170"/>
      <c r="I460" s="170"/>
      <c r="J460" s="170"/>
      <c r="K460" s="170"/>
      <c r="L460" s="170"/>
      <c r="M460" s="170"/>
      <c r="N460" s="170"/>
      <c r="O460" s="201"/>
    </row>
    <row r="461" spans="1:15" s="139" customFormat="1" ht="15.75">
      <c r="A461" s="205" t="str">
        <f>IF(ISNA(VLOOKUP(D461,'Standard Smelter Names'!$B$3:$E$153,4,FALSE)),"",VLOOKUP(D461,'Standard Smelter Names'!$B$3:$E$153,4,FALSE))</f>
        <v/>
      </c>
      <c r="B461" s="170"/>
      <c r="C461" s="184"/>
      <c r="D461" s="184" t="str">
        <f t="shared" si="14"/>
        <v/>
      </c>
      <c r="E461" s="170" t="str">
        <f t="shared" si="15"/>
        <v/>
      </c>
      <c r="F461" s="170"/>
      <c r="G461" s="170"/>
      <c r="H461" s="170"/>
      <c r="I461" s="170"/>
      <c r="J461" s="170"/>
      <c r="K461" s="170"/>
      <c r="L461" s="170"/>
      <c r="M461" s="170"/>
      <c r="N461" s="170"/>
      <c r="O461" s="201"/>
    </row>
    <row r="462" spans="1:15" s="139" customFormat="1" ht="15.75">
      <c r="A462" s="205" t="str">
        <f>IF(ISNA(VLOOKUP(D462,'Standard Smelter Names'!$B$3:$E$153,4,FALSE)),"",VLOOKUP(D462,'Standard Smelter Names'!$B$3:$E$153,4,FALSE))</f>
        <v/>
      </c>
      <c r="B462" s="170"/>
      <c r="C462" s="184"/>
      <c r="D462" s="184" t="str">
        <f t="shared" si="14"/>
        <v/>
      </c>
      <c r="E462" s="170" t="str">
        <f t="shared" si="15"/>
        <v/>
      </c>
      <c r="F462" s="170"/>
      <c r="G462" s="170"/>
      <c r="H462" s="170"/>
      <c r="I462" s="170"/>
      <c r="J462" s="170"/>
      <c r="K462" s="170"/>
      <c r="L462" s="170"/>
      <c r="M462" s="170"/>
      <c r="N462" s="170"/>
      <c r="O462" s="201"/>
    </row>
    <row r="463" spans="1:15" s="139" customFormat="1" ht="15.75">
      <c r="A463" s="205" t="str">
        <f>IF(ISNA(VLOOKUP(D463,'Standard Smelter Names'!$B$3:$E$153,4,FALSE)),"",VLOOKUP(D463,'Standard Smelter Names'!$B$3:$E$153,4,FALSE))</f>
        <v/>
      </c>
      <c r="B463" s="170"/>
      <c r="C463" s="184"/>
      <c r="D463" s="184" t="str">
        <f t="shared" si="14"/>
        <v/>
      </c>
      <c r="E463" s="170" t="str">
        <f t="shared" si="15"/>
        <v/>
      </c>
      <c r="F463" s="170"/>
      <c r="G463" s="170"/>
      <c r="H463" s="170"/>
      <c r="I463" s="170"/>
      <c r="J463" s="170"/>
      <c r="K463" s="170"/>
      <c r="L463" s="170"/>
      <c r="M463" s="170"/>
      <c r="N463" s="170"/>
      <c r="O463" s="201"/>
    </row>
    <row r="464" spans="1:15" s="139" customFormat="1" ht="15.75">
      <c r="A464" s="205" t="str">
        <f>IF(ISNA(VLOOKUP(D464,'Standard Smelter Names'!$B$3:$E$153,4,FALSE)),"",VLOOKUP(D464,'Standard Smelter Names'!$B$3:$E$153,4,FALSE))</f>
        <v/>
      </c>
      <c r="B464" s="170"/>
      <c r="C464" s="184"/>
      <c r="D464" s="184" t="str">
        <f t="shared" si="14"/>
        <v/>
      </c>
      <c r="E464" s="170" t="str">
        <f t="shared" si="15"/>
        <v/>
      </c>
      <c r="F464" s="170"/>
      <c r="G464" s="170"/>
      <c r="H464" s="170"/>
      <c r="I464" s="170"/>
      <c r="J464" s="170"/>
      <c r="K464" s="170"/>
      <c r="L464" s="170"/>
      <c r="M464" s="170"/>
      <c r="N464" s="170"/>
      <c r="O464" s="201"/>
    </row>
    <row r="465" spans="1:15" s="139" customFormat="1" ht="15.75">
      <c r="A465" s="205" t="str">
        <f>IF(ISNA(VLOOKUP(D465,'Standard Smelter Names'!$B$3:$E$153,4,FALSE)),"",VLOOKUP(D465,'Standard Smelter Names'!$B$3:$E$153,4,FALSE))</f>
        <v/>
      </c>
      <c r="B465" s="170"/>
      <c r="C465" s="184"/>
      <c r="D465" s="184" t="str">
        <f t="shared" si="14"/>
        <v/>
      </c>
      <c r="E465" s="170" t="str">
        <f t="shared" si="15"/>
        <v/>
      </c>
      <c r="F465" s="170"/>
      <c r="G465" s="170"/>
      <c r="H465" s="170"/>
      <c r="I465" s="170"/>
      <c r="J465" s="170"/>
      <c r="K465" s="170"/>
      <c r="L465" s="170"/>
      <c r="M465" s="170"/>
      <c r="N465" s="170"/>
      <c r="O465" s="201"/>
    </row>
    <row r="466" spans="1:15" s="139" customFormat="1" ht="15.75">
      <c r="A466" s="205" t="str">
        <f>IF(ISNA(VLOOKUP(D466,'Standard Smelter Names'!$B$3:$E$153,4,FALSE)),"",VLOOKUP(D466,'Standard Smelter Names'!$B$3:$E$153,4,FALSE))</f>
        <v/>
      </c>
      <c r="B466" s="170"/>
      <c r="C466" s="184"/>
      <c r="D466" s="184" t="str">
        <f t="shared" si="14"/>
        <v/>
      </c>
      <c r="E466" s="170" t="str">
        <f t="shared" si="15"/>
        <v/>
      </c>
      <c r="F466" s="170"/>
      <c r="G466" s="170"/>
      <c r="H466" s="170"/>
      <c r="I466" s="170"/>
      <c r="J466" s="170"/>
      <c r="K466" s="170"/>
      <c r="L466" s="170"/>
      <c r="M466" s="170"/>
      <c r="N466" s="170"/>
      <c r="O466" s="201"/>
    </row>
    <row r="467" spans="1:15" s="139" customFormat="1" ht="15.75">
      <c r="A467" s="205" t="str">
        <f>IF(ISNA(VLOOKUP(D467,'Standard Smelter Names'!$B$3:$E$153,4,FALSE)),"",VLOOKUP(D467,'Standard Smelter Names'!$B$3:$E$153,4,FALSE))</f>
        <v/>
      </c>
      <c r="B467" s="170"/>
      <c r="C467" s="184"/>
      <c r="D467" s="184" t="str">
        <f t="shared" si="14"/>
        <v/>
      </c>
      <c r="E467" s="170" t="str">
        <f t="shared" si="15"/>
        <v/>
      </c>
      <c r="F467" s="170"/>
      <c r="G467" s="170"/>
      <c r="H467" s="170"/>
      <c r="I467" s="170"/>
      <c r="J467" s="170"/>
      <c r="K467" s="170"/>
      <c r="L467" s="170"/>
      <c r="M467" s="170"/>
      <c r="N467" s="170"/>
      <c r="O467" s="201"/>
    </row>
    <row r="468" spans="1:15" s="139" customFormat="1" ht="15.75">
      <c r="A468" s="205" t="str">
        <f>IF(ISNA(VLOOKUP(D468,'Standard Smelter Names'!$B$3:$E$153,4,FALSE)),"",VLOOKUP(D468,'Standard Smelter Names'!$B$3:$E$153,4,FALSE))</f>
        <v/>
      </c>
      <c r="B468" s="170"/>
      <c r="C468" s="184"/>
      <c r="D468" s="184" t="str">
        <f t="shared" si="14"/>
        <v/>
      </c>
      <c r="E468" s="170" t="str">
        <f t="shared" si="15"/>
        <v/>
      </c>
      <c r="F468" s="170"/>
      <c r="G468" s="170"/>
      <c r="H468" s="170"/>
      <c r="I468" s="170"/>
      <c r="J468" s="170"/>
      <c r="K468" s="170"/>
      <c r="L468" s="170"/>
      <c r="M468" s="170"/>
      <c r="N468" s="170"/>
      <c r="O468" s="201"/>
    </row>
    <row r="469" spans="1:15" s="139" customFormat="1" ht="15.75">
      <c r="A469" s="205" t="str">
        <f>IF(ISNA(VLOOKUP(D469,'Standard Smelter Names'!$B$3:$E$153,4,FALSE)),"",VLOOKUP(D469,'Standard Smelter Names'!$B$3:$E$153,4,FALSE))</f>
        <v/>
      </c>
      <c r="B469" s="170"/>
      <c r="C469" s="184"/>
      <c r="D469" s="184" t="str">
        <f t="shared" si="14"/>
        <v/>
      </c>
      <c r="E469" s="170" t="str">
        <f t="shared" si="15"/>
        <v/>
      </c>
      <c r="F469" s="170"/>
      <c r="G469" s="170"/>
      <c r="H469" s="170"/>
      <c r="I469" s="170"/>
      <c r="J469" s="170"/>
      <c r="K469" s="170"/>
      <c r="L469" s="170"/>
      <c r="M469" s="170"/>
      <c r="N469" s="170"/>
      <c r="O469" s="201"/>
    </row>
    <row r="470" spans="1:15" s="139" customFormat="1" ht="15.75">
      <c r="A470" s="205" t="str">
        <f>IF(ISNA(VLOOKUP(D470,'Standard Smelter Names'!$B$3:$E$153,4,FALSE)),"",VLOOKUP(D470,'Standard Smelter Names'!$B$3:$E$153,4,FALSE))</f>
        <v/>
      </c>
      <c r="B470" s="170"/>
      <c r="C470" s="184"/>
      <c r="D470" s="184" t="str">
        <f t="shared" si="14"/>
        <v/>
      </c>
      <c r="E470" s="170" t="str">
        <f t="shared" si="15"/>
        <v/>
      </c>
      <c r="F470" s="170"/>
      <c r="G470" s="170"/>
      <c r="H470" s="170"/>
      <c r="I470" s="170"/>
      <c r="J470" s="170"/>
      <c r="K470" s="170"/>
      <c r="L470" s="170"/>
      <c r="M470" s="170"/>
      <c r="N470" s="170"/>
      <c r="O470" s="201"/>
    </row>
    <row r="471" spans="1:15" s="139" customFormat="1" ht="15.75">
      <c r="A471" s="205" t="str">
        <f>IF(ISNA(VLOOKUP(D471,'Standard Smelter Names'!$B$3:$E$153,4,FALSE)),"",VLOOKUP(D471,'Standard Smelter Names'!$B$3:$E$153,4,FALSE))</f>
        <v/>
      </c>
      <c r="B471" s="170"/>
      <c r="C471" s="184"/>
      <c r="D471" s="184" t="str">
        <f t="shared" si="14"/>
        <v/>
      </c>
      <c r="E471" s="170" t="str">
        <f t="shared" si="15"/>
        <v/>
      </c>
      <c r="F471" s="170"/>
      <c r="G471" s="170"/>
      <c r="H471" s="170"/>
      <c r="I471" s="170"/>
      <c r="J471" s="170"/>
      <c r="K471" s="170"/>
      <c r="L471" s="170"/>
      <c r="M471" s="170"/>
      <c r="N471" s="170"/>
      <c r="O471" s="201"/>
    </row>
    <row r="472" spans="1:15" s="139" customFormat="1" ht="15.75">
      <c r="A472" s="205" t="str">
        <f>IF(ISNA(VLOOKUP(D472,'Standard Smelter Names'!$B$3:$E$153,4,FALSE)),"",VLOOKUP(D472,'Standard Smelter Names'!$B$3:$E$153,4,FALSE))</f>
        <v/>
      </c>
      <c r="B472" s="170"/>
      <c r="C472" s="184"/>
      <c r="D472" s="184" t="str">
        <f t="shared" si="14"/>
        <v/>
      </c>
      <c r="E472" s="170" t="str">
        <f t="shared" si="15"/>
        <v/>
      </c>
      <c r="F472" s="170"/>
      <c r="G472" s="170"/>
      <c r="H472" s="170"/>
      <c r="I472" s="170"/>
      <c r="J472" s="170"/>
      <c r="K472" s="170"/>
      <c r="L472" s="170"/>
      <c r="M472" s="170"/>
      <c r="N472" s="170"/>
      <c r="O472" s="201"/>
    </row>
    <row r="473" spans="1:15" s="139" customFormat="1" ht="15.75">
      <c r="A473" s="205" t="str">
        <f>IF(ISNA(VLOOKUP(D473,'Standard Smelter Names'!$B$3:$E$153,4,FALSE)),"",VLOOKUP(D473,'Standard Smelter Names'!$B$3:$E$153,4,FALSE))</f>
        <v/>
      </c>
      <c r="B473" s="170"/>
      <c r="C473" s="184"/>
      <c r="D473" s="184" t="str">
        <f t="shared" si="14"/>
        <v/>
      </c>
      <c r="E473" s="170" t="str">
        <f t="shared" si="15"/>
        <v/>
      </c>
      <c r="F473" s="170"/>
      <c r="G473" s="170"/>
      <c r="H473" s="170"/>
      <c r="I473" s="170"/>
      <c r="J473" s="170"/>
      <c r="K473" s="170"/>
      <c r="L473" s="170"/>
      <c r="M473" s="170"/>
      <c r="N473" s="170"/>
      <c r="O473" s="201"/>
    </row>
    <row r="474" spans="1:15" s="139" customFormat="1" ht="15.75">
      <c r="A474" s="205" t="str">
        <f>IF(ISNA(VLOOKUP(D474,'Standard Smelter Names'!$B$3:$E$153,4,FALSE)),"",VLOOKUP(D474,'Standard Smelter Names'!$B$3:$E$153,4,FALSE))</f>
        <v/>
      </c>
      <c r="B474" s="170"/>
      <c r="C474" s="184"/>
      <c r="D474" s="184" t="str">
        <f t="shared" si="14"/>
        <v/>
      </c>
      <c r="E474" s="170" t="str">
        <f t="shared" si="15"/>
        <v/>
      </c>
      <c r="F474" s="170"/>
      <c r="G474" s="170"/>
      <c r="H474" s="170"/>
      <c r="I474" s="170"/>
      <c r="J474" s="170"/>
      <c r="K474" s="170"/>
      <c r="L474" s="170"/>
      <c r="M474" s="170"/>
      <c r="N474" s="170"/>
      <c r="O474" s="201"/>
    </row>
    <row r="475" spans="1:15" s="139" customFormat="1" ht="15.75">
      <c r="A475" s="205" t="str">
        <f>IF(ISNA(VLOOKUP(D475,'Standard Smelter Names'!$B$3:$E$153,4,FALSE)),"",VLOOKUP(D475,'Standard Smelter Names'!$B$3:$E$153,4,FALSE))</f>
        <v/>
      </c>
      <c r="B475" s="170"/>
      <c r="C475" s="184"/>
      <c r="D475" s="184" t="str">
        <f t="shared" si="14"/>
        <v/>
      </c>
      <c r="E475" s="170" t="str">
        <f t="shared" si="15"/>
        <v/>
      </c>
      <c r="F475" s="170"/>
      <c r="G475" s="170"/>
      <c r="H475" s="170"/>
      <c r="I475" s="170"/>
      <c r="J475" s="170"/>
      <c r="K475" s="170"/>
      <c r="L475" s="170"/>
      <c r="M475" s="170"/>
      <c r="N475" s="170"/>
      <c r="O475" s="201"/>
    </row>
    <row r="476" spans="1:15" s="139" customFormat="1" ht="15.75">
      <c r="A476" s="205" t="str">
        <f>IF(ISNA(VLOOKUP(D476,'Standard Smelter Names'!$B$3:$E$153,4,FALSE)),"",VLOOKUP(D476,'Standard Smelter Names'!$B$3:$E$153,4,FALSE))</f>
        <v/>
      </c>
      <c r="B476" s="170"/>
      <c r="C476" s="184"/>
      <c r="D476" s="184" t="str">
        <f t="shared" si="14"/>
        <v/>
      </c>
      <c r="E476" s="170" t="str">
        <f t="shared" si="15"/>
        <v/>
      </c>
      <c r="F476" s="170"/>
      <c r="G476" s="170"/>
      <c r="H476" s="170"/>
      <c r="I476" s="170"/>
      <c r="J476" s="170"/>
      <c r="K476" s="170"/>
      <c r="L476" s="170"/>
      <c r="M476" s="170"/>
      <c r="N476" s="170"/>
      <c r="O476" s="201"/>
    </row>
    <row r="477" spans="1:15" s="139" customFormat="1" ht="15.75">
      <c r="A477" s="205" t="str">
        <f>IF(ISNA(VLOOKUP(D477,'Standard Smelter Names'!$B$3:$E$153,4,FALSE)),"",VLOOKUP(D477,'Standard Smelter Names'!$B$3:$E$153,4,FALSE))</f>
        <v/>
      </c>
      <c r="B477" s="170"/>
      <c r="C477" s="184"/>
      <c r="D477" s="184" t="str">
        <f t="shared" si="14"/>
        <v/>
      </c>
      <c r="E477" s="170" t="str">
        <f t="shared" si="15"/>
        <v/>
      </c>
      <c r="F477" s="170"/>
      <c r="G477" s="170"/>
      <c r="H477" s="170"/>
      <c r="I477" s="170"/>
      <c r="J477" s="170"/>
      <c r="K477" s="170"/>
      <c r="L477" s="170"/>
      <c r="M477" s="170"/>
      <c r="N477" s="170"/>
      <c r="O477" s="201"/>
    </row>
    <row r="478" spans="1:15" s="139" customFormat="1" ht="15.75">
      <c r="A478" s="205" t="str">
        <f>IF(ISNA(VLOOKUP(D478,'Standard Smelter Names'!$B$3:$E$153,4,FALSE)),"",VLOOKUP(D478,'Standard Smelter Names'!$B$3:$E$153,4,FALSE))</f>
        <v/>
      </c>
      <c r="B478" s="170"/>
      <c r="C478" s="184"/>
      <c r="D478" s="184" t="str">
        <f t="shared" si="14"/>
        <v/>
      </c>
      <c r="E478" s="170" t="str">
        <f t="shared" si="15"/>
        <v/>
      </c>
      <c r="F478" s="170"/>
      <c r="G478" s="170"/>
      <c r="H478" s="170"/>
      <c r="I478" s="170"/>
      <c r="J478" s="170"/>
      <c r="K478" s="170"/>
      <c r="L478" s="170"/>
      <c r="M478" s="170"/>
      <c r="N478" s="170"/>
      <c r="O478" s="201"/>
    </row>
    <row r="479" spans="1:15" s="139" customFormat="1" ht="15.75">
      <c r="A479" s="205" t="str">
        <f>IF(ISNA(VLOOKUP(D479,'Standard Smelter Names'!$B$3:$E$153,4,FALSE)),"",VLOOKUP(D479,'Standard Smelter Names'!$B$3:$E$153,4,FALSE))</f>
        <v/>
      </c>
      <c r="B479" s="170"/>
      <c r="C479" s="184"/>
      <c r="D479" s="184" t="str">
        <f t="shared" si="14"/>
        <v/>
      </c>
      <c r="E479" s="170" t="str">
        <f t="shared" si="15"/>
        <v/>
      </c>
      <c r="F479" s="170"/>
      <c r="G479" s="170"/>
      <c r="H479" s="170"/>
      <c r="I479" s="170"/>
      <c r="J479" s="170"/>
      <c r="K479" s="170"/>
      <c r="L479" s="170"/>
      <c r="M479" s="170"/>
      <c r="N479" s="170"/>
      <c r="O479" s="201"/>
    </row>
    <row r="480" spans="1:15" s="139" customFormat="1" ht="15.75">
      <c r="A480" s="205" t="str">
        <f>IF(ISNA(VLOOKUP(D480,'Standard Smelter Names'!$B$3:$E$153,4,FALSE)),"",VLOOKUP(D480,'Standard Smelter Names'!$B$3:$E$153,4,FALSE))</f>
        <v/>
      </c>
      <c r="B480" s="170"/>
      <c r="C480" s="184"/>
      <c r="D480" s="184" t="str">
        <f t="shared" si="14"/>
        <v/>
      </c>
      <c r="E480" s="170" t="str">
        <f t="shared" si="15"/>
        <v/>
      </c>
      <c r="F480" s="170"/>
      <c r="G480" s="170"/>
      <c r="H480" s="170"/>
      <c r="I480" s="170"/>
      <c r="J480" s="170"/>
      <c r="K480" s="170"/>
      <c r="L480" s="170"/>
      <c r="M480" s="170"/>
      <c r="N480" s="170"/>
      <c r="O480" s="201"/>
    </row>
    <row r="481" spans="1:15" s="139" customFormat="1" ht="15.75">
      <c r="A481" s="205" t="str">
        <f>IF(ISNA(VLOOKUP(D481,'Standard Smelter Names'!$B$3:$E$153,4,FALSE)),"",VLOOKUP(D481,'Standard Smelter Names'!$B$3:$E$153,4,FALSE))</f>
        <v/>
      </c>
      <c r="B481" s="170"/>
      <c r="C481" s="184"/>
      <c r="D481" s="184" t="str">
        <f t="shared" si="14"/>
        <v/>
      </c>
      <c r="E481" s="170" t="str">
        <f t="shared" si="15"/>
        <v/>
      </c>
      <c r="F481" s="170"/>
      <c r="G481" s="170"/>
      <c r="H481" s="170"/>
      <c r="I481" s="170"/>
      <c r="J481" s="170"/>
      <c r="K481" s="170"/>
      <c r="L481" s="170"/>
      <c r="M481" s="170"/>
      <c r="N481" s="170"/>
      <c r="O481" s="201"/>
    </row>
    <row r="482" spans="1:15" s="139" customFormat="1" ht="15.75">
      <c r="A482" s="205" t="str">
        <f>IF(ISNA(VLOOKUP(D482,'Standard Smelter Names'!$B$3:$E$153,4,FALSE)),"",VLOOKUP(D482,'Standard Smelter Names'!$B$3:$E$153,4,FALSE))</f>
        <v/>
      </c>
      <c r="B482" s="170"/>
      <c r="C482" s="184"/>
      <c r="D482" s="184" t="str">
        <f t="shared" si="14"/>
        <v/>
      </c>
      <c r="E482" s="170" t="str">
        <f t="shared" si="15"/>
        <v/>
      </c>
      <c r="F482" s="170"/>
      <c r="G482" s="170"/>
      <c r="H482" s="170"/>
      <c r="I482" s="170"/>
      <c r="J482" s="170"/>
      <c r="K482" s="170"/>
      <c r="L482" s="170"/>
      <c r="M482" s="170"/>
      <c r="N482" s="170"/>
      <c r="O482" s="201"/>
    </row>
    <row r="483" spans="1:15" s="139" customFormat="1" ht="15.75">
      <c r="A483" s="205" t="str">
        <f>IF(ISNA(VLOOKUP(D483,'Standard Smelter Names'!$B$3:$E$153,4,FALSE)),"",VLOOKUP(D483,'Standard Smelter Names'!$B$3:$E$153,4,FALSE))</f>
        <v/>
      </c>
      <c r="B483" s="170"/>
      <c r="C483" s="184"/>
      <c r="D483" s="184" t="str">
        <f t="shared" si="14"/>
        <v/>
      </c>
      <c r="E483" s="170" t="str">
        <f t="shared" si="15"/>
        <v/>
      </c>
      <c r="F483" s="170"/>
      <c r="G483" s="170"/>
      <c r="H483" s="170"/>
      <c r="I483" s="170"/>
      <c r="J483" s="170"/>
      <c r="K483" s="170"/>
      <c r="L483" s="170"/>
      <c r="M483" s="170"/>
      <c r="N483" s="170"/>
      <c r="O483" s="201"/>
    </row>
    <row r="484" spans="1:15" s="139" customFormat="1" ht="15.75">
      <c r="A484" s="205" t="str">
        <f>IF(ISNA(VLOOKUP(D484,'Standard Smelter Names'!$B$3:$E$153,4,FALSE)),"",VLOOKUP(D484,'Standard Smelter Names'!$B$3:$E$153,4,FALSE))</f>
        <v/>
      </c>
      <c r="B484" s="170"/>
      <c r="C484" s="184"/>
      <c r="D484" s="184" t="str">
        <f t="shared" si="14"/>
        <v/>
      </c>
      <c r="E484" s="170" t="str">
        <f t="shared" si="15"/>
        <v/>
      </c>
      <c r="F484" s="170"/>
      <c r="G484" s="170"/>
      <c r="H484" s="170"/>
      <c r="I484" s="170"/>
      <c r="J484" s="170"/>
      <c r="K484" s="170"/>
      <c r="L484" s="170"/>
      <c r="M484" s="170"/>
      <c r="N484" s="170"/>
      <c r="O484" s="201"/>
    </row>
    <row r="485" spans="1:15" s="139" customFormat="1" ht="15.75">
      <c r="A485" s="205" t="str">
        <f>IF(ISNA(VLOOKUP(D485,'Standard Smelter Names'!$B$3:$E$153,4,FALSE)),"",VLOOKUP(D485,'Standard Smelter Names'!$B$3:$E$153,4,FALSE))</f>
        <v/>
      </c>
      <c r="B485" s="170"/>
      <c r="C485" s="184"/>
      <c r="D485" s="184" t="str">
        <f t="shared" si="14"/>
        <v/>
      </c>
      <c r="E485" s="170" t="str">
        <f t="shared" si="15"/>
        <v/>
      </c>
      <c r="F485" s="170"/>
      <c r="G485" s="170"/>
      <c r="H485" s="170"/>
      <c r="I485" s="170"/>
      <c r="J485" s="170"/>
      <c r="K485" s="170"/>
      <c r="L485" s="170"/>
      <c r="M485" s="170"/>
      <c r="N485" s="170"/>
      <c r="O485" s="201"/>
    </row>
    <row r="486" spans="1:15" s="139" customFormat="1" ht="15.75">
      <c r="A486" s="205" t="str">
        <f>IF(ISNA(VLOOKUP(D486,'Standard Smelter Names'!$B$3:$E$153,4,FALSE)),"",VLOOKUP(D486,'Standard Smelter Names'!$B$3:$E$153,4,FALSE))</f>
        <v/>
      </c>
      <c r="B486" s="170"/>
      <c r="C486" s="184"/>
      <c r="D486" s="184" t="str">
        <f t="shared" si="14"/>
        <v/>
      </c>
      <c r="E486" s="170" t="str">
        <f t="shared" si="15"/>
        <v/>
      </c>
      <c r="F486" s="170"/>
      <c r="G486" s="170"/>
      <c r="H486" s="170"/>
      <c r="I486" s="170"/>
      <c r="J486" s="170"/>
      <c r="K486" s="170"/>
      <c r="L486" s="170"/>
      <c r="M486" s="170"/>
      <c r="N486" s="170"/>
      <c r="O486" s="201"/>
    </row>
    <row r="487" spans="1:15" s="139" customFormat="1" ht="15.75">
      <c r="A487" s="205" t="str">
        <f>IF(ISNA(VLOOKUP(D487,'Standard Smelter Names'!$B$3:$E$153,4,FALSE)),"",VLOOKUP(D487,'Standard Smelter Names'!$B$3:$E$153,4,FALSE))</f>
        <v/>
      </c>
      <c r="B487" s="170"/>
      <c r="C487" s="184"/>
      <c r="D487" s="184" t="str">
        <f t="shared" si="14"/>
        <v/>
      </c>
      <c r="E487" s="170" t="str">
        <f t="shared" si="15"/>
        <v/>
      </c>
      <c r="F487" s="170"/>
      <c r="G487" s="170"/>
      <c r="H487" s="170"/>
      <c r="I487" s="170"/>
      <c r="J487" s="170"/>
      <c r="K487" s="170"/>
      <c r="L487" s="170"/>
      <c r="M487" s="170"/>
      <c r="N487" s="170"/>
      <c r="O487" s="201"/>
    </row>
    <row r="488" spans="1:15" s="139" customFormat="1" ht="15.75">
      <c r="A488" s="205" t="str">
        <f>IF(ISNA(VLOOKUP(D488,'Standard Smelter Names'!$B$3:$E$153,4,FALSE)),"",VLOOKUP(D488,'Standard Smelter Names'!$B$3:$E$153,4,FALSE))</f>
        <v/>
      </c>
      <c r="B488" s="170"/>
      <c r="C488" s="184"/>
      <c r="D488" s="184" t="str">
        <f t="shared" si="14"/>
        <v/>
      </c>
      <c r="E488" s="170" t="str">
        <f t="shared" si="15"/>
        <v/>
      </c>
      <c r="F488" s="170"/>
      <c r="G488" s="170"/>
      <c r="H488" s="170"/>
      <c r="I488" s="170"/>
      <c r="J488" s="170"/>
      <c r="K488" s="170"/>
      <c r="L488" s="170"/>
      <c r="M488" s="170"/>
      <c r="N488" s="170"/>
      <c r="O488" s="201"/>
    </row>
    <row r="489" spans="1:15" s="139" customFormat="1" ht="15.75">
      <c r="A489" s="205" t="str">
        <f>IF(ISNA(VLOOKUP(D489,'Standard Smelter Names'!$B$3:$E$153,4,FALSE)),"",VLOOKUP(D489,'Standard Smelter Names'!$B$3:$E$153,4,FALSE))</f>
        <v/>
      </c>
      <c r="B489" s="170"/>
      <c r="C489" s="184"/>
      <c r="D489" s="184" t="str">
        <f t="shared" si="14"/>
        <v/>
      </c>
      <c r="E489" s="170" t="str">
        <f t="shared" si="15"/>
        <v/>
      </c>
      <c r="F489" s="170"/>
      <c r="G489" s="170"/>
      <c r="H489" s="170"/>
      <c r="I489" s="170"/>
      <c r="J489" s="170"/>
      <c r="K489" s="170"/>
      <c r="L489" s="170"/>
      <c r="M489" s="170"/>
      <c r="N489" s="170"/>
      <c r="O489" s="201"/>
    </row>
    <row r="490" spans="1:15" s="139" customFormat="1" ht="15.75">
      <c r="A490" s="205" t="str">
        <f>IF(ISNA(VLOOKUP(D490,'Standard Smelter Names'!$B$3:$E$153,4,FALSE)),"",VLOOKUP(D490,'Standard Smelter Names'!$B$3:$E$153,4,FALSE))</f>
        <v/>
      </c>
      <c r="B490" s="170"/>
      <c r="C490" s="184"/>
      <c r="D490" s="184" t="str">
        <f t="shared" si="14"/>
        <v/>
      </c>
      <c r="E490" s="170" t="str">
        <f t="shared" si="15"/>
        <v/>
      </c>
      <c r="F490" s="170"/>
      <c r="G490" s="170"/>
      <c r="H490" s="170"/>
      <c r="I490" s="170"/>
      <c r="J490" s="170"/>
      <c r="K490" s="170"/>
      <c r="L490" s="170"/>
      <c r="M490" s="170"/>
      <c r="N490" s="170"/>
      <c r="O490" s="201"/>
    </row>
    <row r="491" spans="1:15" s="139" customFormat="1" ht="15.75">
      <c r="A491" s="205" t="str">
        <f>IF(ISNA(VLOOKUP(D491,'Standard Smelter Names'!$B$3:$E$153,4,FALSE)),"",VLOOKUP(D491,'Standard Smelter Names'!$B$3:$E$153,4,FALSE))</f>
        <v/>
      </c>
      <c r="B491" s="170"/>
      <c r="C491" s="184"/>
      <c r="D491" s="184" t="str">
        <f t="shared" si="14"/>
        <v/>
      </c>
      <c r="E491" s="170" t="str">
        <f t="shared" si="15"/>
        <v/>
      </c>
      <c r="F491" s="170"/>
      <c r="G491" s="170"/>
      <c r="H491" s="170"/>
      <c r="I491" s="170"/>
      <c r="J491" s="170"/>
      <c r="K491" s="170"/>
      <c r="L491" s="170"/>
      <c r="M491" s="170"/>
      <c r="N491" s="170"/>
      <c r="O491" s="201"/>
    </row>
    <row r="492" spans="1:15" s="139" customFormat="1" ht="15.75">
      <c r="A492" s="205" t="str">
        <f>IF(ISNA(VLOOKUP(D492,'Standard Smelter Names'!$B$3:$E$153,4,FALSE)),"",VLOOKUP(D492,'Standard Smelter Names'!$B$3:$E$153,4,FALSE))</f>
        <v/>
      </c>
      <c r="B492" s="170"/>
      <c r="C492" s="184"/>
      <c r="D492" s="184" t="str">
        <f t="shared" si="14"/>
        <v/>
      </c>
      <c r="E492" s="170" t="str">
        <f t="shared" si="15"/>
        <v/>
      </c>
      <c r="F492" s="170"/>
      <c r="G492" s="170"/>
      <c r="H492" s="170"/>
      <c r="I492" s="170"/>
      <c r="J492" s="170"/>
      <c r="K492" s="170"/>
      <c r="L492" s="170"/>
      <c r="M492" s="170"/>
      <c r="N492" s="170"/>
      <c r="O492" s="201"/>
    </row>
    <row r="493" spans="1:15" s="139" customFormat="1" ht="15.75">
      <c r="A493" s="205" t="str">
        <f>IF(ISNA(VLOOKUP(D493,'Standard Smelter Names'!$B$3:$E$153,4,FALSE)),"",VLOOKUP(D493,'Standard Smelter Names'!$B$3:$E$153,4,FALSE))</f>
        <v/>
      </c>
      <c r="B493" s="170"/>
      <c r="C493" s="184"/>
      <c r="D493" s="184" t="str">
        <f t="shared" si="14"/>
        <v/>
      </c>
      <c r="E493" s="170" t="str">
        <f t="shared" si="15"/>
        <v/>
      </c>
      <c r="F493" s="170"/>
      <c r="G493" s="170"/>
      <c r="H493" s="170"/>
      <c r="I493" s="170"/>
      <c r="J493" s="170"/>
      <c r="K493" s="170"/>
      <c r="L493" s="170"/>
      <c r="M493" s="170"/>
      <c r="N493" s="170"/>
      <c r="O493" s="201"/>
    </row>
    <row r="494" spans="1:15" s="139" customFormat="1" ht="15.75">
      <c r="A494" s="205" t="str">
        <f>IF(ISNA(VLOOKUP(D494,'Standard Smelter Names'!$B$3:$E$153,4,FALSE)),"",VLOOKUP(D494,'Standard Smelter Names'!$B$3:$E$153,4,FALSE))</f>
        <v/>
      </c>
      <c r="B494" s="170"/>
      <c r="C494" s="184"/>
      <c r="D494" s="184" t="str">
        <f t="shared" si="14"/>
        <v/>
      </c>
      <c r="E494" s="170" t="str">
        <f t="shared" si="15"/>
        <v/>
      </c>
      <c r="F494" s="170"/>
      <c r="G494" s="170"/>
      <c r="H494" s="170"/>
      <c r="I494" s="170"/>
      <c r="J494" s="170"/>
      <c r="K494" s="170"/>
      <c r="L494" s="170"/>
      <c r="M494" s="170"/>
      <c r="N494" s="170"/>
      <c r="O494" s="201"/>
    </row>
    <row r="495" spans="1:15" s="139" customFormat="1" ht="15.75">
      <c r="A495" s="205" t="str">
        <f>IF(ISNA(VLOOKUP(D495,'Standard Smelter Names'!$B$3:$E$153,4,FALSE)),"",VLOOKUP(D495,'Standard Smelter Names'!$B$3:$E$153,4,FALSE))</f>
        <v/>
      </c>
      <c r="B495" s="170"/>
      <c r="C495" s="184"/>
      <c r="D495" s="184" t="str">
        <f t="shared" si="14"/>
        <v/>
      </c>
      <c r="E495" s="170" t="str">
        <f t="shared" si="15"/>
        <v/>
      </c>
      <c r="F495" s="170"/>
      <c r="G495" s="170"/>
      <c r="H495" s="170"/>
      <c r="I495" s="170"/>
      <c r="J495" s="170"/>
      <c r="K495" s="170"/>
      <c r="L495" s="170"/>
      <c r="M495" s="170"/>
      <c r="N495" s="170"/>
      <c r="O495" s="201"/>
    </row>
    <row r="496" spans="1:15" s="139" customFormat="1" ht="15.75">
      <c r="A496" s="205" t="str">
        <f>IF(ISNA(VLOOKUP(D496,'Standard Smelter Names'!$B$3:$E$153,4,FALSE)),"",VLOOKUP(D496,'Standard Smelter Names'!$B$3:$E$153,4,FALSE))</f>
        <v/>
      </c>
      <c r="B496" s="170"/>
      <c r="C496" s="184"/>
      <c r="D496" s="184" t="str">
        <f t="shared" si="14"/>
        <v/>
      </c>
      <c r="E496" s="170" t="str">
        <f t="shared" si="15"/>
        <v/>
      </c>
      <c r="F496" s="170"/>
      <c r="G496" s="170"/>
      <c r="H496" s="170"/>
      <c r="I496" s="170"/>
      <c r="J496" s="170"/>
      <c r="K496" s="170"/>
      <c r="L496" s="170"/>
      <c r="M496" s="170"/>
      <c r="N496" s="170"/>
      <c r="O496" s="201"/>
    </row>
    <row r="497" spans="1:15" s="139" customFormat="1" ht="15.75">
      <c r="A497" s="205" t="str">
        <f>IF(ISNA(VLOOKUP(D497,'Standard Smelter Names'!$B$3:$E$153,4,FALSE)),"",VLOOKUP(D497,'Standard Smelter Names'!$B$3:$E$153,4,FALSE))</f>
        <v/>
      </c>
      <c r="B497" s="170"/>
      <c r="C497" s="184"/>
      <c r="D497" s="184" t="str">
        <f t="shared" si="14"/>
        <v/>
      </c>
      <c r="E497" s="170" t="str">
        <f t="shared" si="15"/>
        <v/>
      </c>
      <c r="F497" s="170"/>
      <c r="G497" s="170"/>
      <c r="H497" s="170"/>
      <c r="I497" s="170"/>
      <c r="J497" s="170"/>
      <c r="K497" s="170"/>
      <c r="L497" s="170"/>
      <c r="M497" s="170"/>
      <c r="N497" s="170"/>
      <c r="O497" s="201"/>
    </row>
    <row r="498" spans="1:15" s="139" customFormat="1" ht="15.75">
      <c r="A498" s="205" t="str">
        <f>IF(ISNA(VLOOKUP(D498,'Standard Smelter Names'!$B$3:$E$153,4,FALSE)),"",VLOOKUP(D498,'Standard Smelter Names'!$B$3:$E$153,4,FALSE))</f>
        <v/>
      </c>
      <c r="B498" s="170"/>
      <c r="C498" s="184"/>
      <c r="D498" s="184" t="str">
        <f t="shared" si="14"/>
        <v/>
      </c>
      <c r="E498" s="170" t="str">
        <f t="shared" si="15"/>
        <v/>
      </c>
      <c r="F498" s="170"/>
      <c r="G498" s="170"/>
      <c r="H498" s="170"/>
      <c r="I498" s="170"/>
      <c r="J498" s="170"/>
      <c r="K498" s="170"/>
      <c r="L498" s="170"/>
      <c r="M498" s="170"/>
      <c r="N498" s="170"/>
      <c r="O498" s="201"/>
    </row>
    <row r="499" spans="1:15" s="139" customFormat="1" ht="15.75">
      <c r="A499" s="205" t="str">
        <f>IF(ISNA(VLOOKUP(D499,'Standard Smelter Names'!$B$3:$E$153,4,FALSE)),"",VLOOKUP(D499,'Standard Smelter Names'!$B$3:$E$153,4,FALSE))</f>
        <v/>
      </c>
      <c r="B499" s="170"/>
      <c r="C499" s="184"/>
      <c r="D499" s="184" t="str">
        <f t="shared" si="14"/>
        <v/>
      </c>
      <c r="E499" s="170" t="str">
        <f t="shared" si="15"/>
        <v/>
      </c>
      <c r="F499" s="170"/>
      <c r="G499" s="170"/>
      <c r="H499" s="170"/>
      <c r="I499" s="170"/>
      <c r="J499" s="170"/>
      <c r="K499" s="170"/>
      <c r="L499" s="170"/>
      <c r="M499" s="170"/>
      <c r="N499" s="170"/>
      <c r="O499" s="201"/>
    </row>
    <row r="500" spans="1:15" s="139" customFormat="1" ht="15.75">
      <c r="A500" s="205" t="str">
        <f>IF(ISNA(VLOOKUP(D500,'Standard Smelter Names'!$B$3:$E$153,4,FALSE)),"",VLOOKUP(D500,'Standard Smelter Names'!$B$3:$E$153,4,FALSE))</f>
        <v/>
      </c>
      <c r="B500" s="170"/>
      <c r="C500" s="184"/>
      <c r="D500" s="184" t="str">
        <f t="shared" si="14"/>
        <v/>
      </c>
      <c r="E500" s="170" t="str">
        <f t="shared" si="15"/>
        <v/>
      </c>
      <c r="F500" s="170"/>
      <c r="G500" s="170"/>
      <c r="H500" s="170"/>
      <c r="I500" s="170"/>
      <c r="J500" s="170"/>
      <c r="K500" s="170"/>
      <c r="L500" s="170"/>
      <c r="M500" s="170"/>
      <c r="N500" s="170"/>
      <c r="O500" s="201"/>
    </row>
    <row r="501" spans="1:15" s="139" customFormat="1" ht="15.75">
      <c r="A501" s="205" t="str">
        <f>IF(ISNA(VLOOKUP(D501,'Standard Smelter Names'!$B$3:$E$153,4,FALSE)),"",VLOOKUP(D501,'Standard Smelter Names'!$B$3:$E$153,4,FALSE))</f>
        <v/>
      </c>
      <c r="B501" s="170"/>
      <c r="C501" s="184"/>
      <c r="D501" s="184" t="str">
        <f t="shared" si="14"/>
        <v/>
      </c>
      <c r="E501" s="170" t="str">
        <f t="shared" si="15"/>
        <v/>
      </c>
      <c r="F501" s="170"/>
      <c r="G501" s="170"/>
      <c r="H501" s="170"/>
      <c r="I501" s="170"/>
      <c r="J501" s="170"/>
      <c r="K501" s="170"/>
      <c r="L501" s="170"/>
      <c r="M501" s="170"/>
      <c r="N501" s="170"/>
      <c r="O501" s="201"/>
    </row>
    <row r="502" spans="1:15" s="139" customFormat="1" ht="15.75">
      <c r="A502" s="205" t="str">
        <f>IF(ISNA(VLOOKUP(D502,'Standard Smelter Names'!$B$3:$E$153,4,FALSE)),"",VLOOKUP(D502,'Standard Smelter Names'!$B$3:$E$153,4,FALSE))</f>
        <v/>
      </c>
      <c r="B502" s="170"/>
      <c r="C502" s="184"/>
      <c r="D502" s="184" t="str">
        <f t="shared" si="14"/>
        <v/>
      </c>
      <c r="E502" s="170" t="str">
        <f t="shared" si="15"/>
        <v/>
      </c>
      <c r="F502" s="170"/>
      <c r="G502" s="170"/>
      <c r="H502" s="170"/>
      <c r="I502" s="170"/>
      <c r="J502" s="170"/>
      <c r="K502" s="170"/>
      <c r="L502" s="170"/>
      <c r="M502" s="170"/>
      <c r="N502" s="170"/>
      <c r="O502" s="201"/>
    </row>
    <row r="503" spans="1:15" s="139" customFormat="1" ht="15.75">
      <c r="A503" s="205" t="str">
        <f>IF(ISNA(VLOOKUP(D503,'Standard Smelter Names'!$B$3:$E$153,4,FALSE)),"",VLOOKUP(D503,'Standard Smelter Names'!$B$3:$E$153,4,FALSE))</f>
        <v/>
      </c>
      <c r="B503" s="170"/>
      <c r="C503" s="184"/>
      <c r="D503" s="184" t="str">
        <f t="shared" si="14"/>
        <v/>
      </c>
      <c r="E503" s="170" t="str">
        <f t="shared" si="15"/>
        <v/>
      </c>
      <c r="F503" s="170"/>
      <c r="G503" s="170"/>
      <c r="H503" s="170"/>
      <c r="I503" s="170"/>
      <c r="J503" s="170"/>
      <c r="K503" s="170"/>
      <c r="L503" s="170"/>
      <c r="M503" s="170"/>
      <c r="N503" s="170"/>
      <c r="O503" s="201"/>
    </row>
    <row r="504" spans="1:15" s="139" customFormat="1" ht="15.75">
      <c r="A504" s="205" t="str">
        <f>IF(ISNA(VLOOKUP(D504,'Standard Smelter Names'!$B$3:$E$153,4,FALSE)),"",VLOOKUP(D504,'Standard Smelter Names'!$B$3:$E$153,4,FALSE))</f>
        <v/>
      </c>
      <c r="B504" s="170"/>
      <c r="C504" s="184"/>
      <c r="D504" s="184" t="str">
        <f t="shared" si="14"/>
        <v/>
      </c>
      <c r="E504" s="170" t="str">
        <f t="shared" si="15"/>
        <v/>
      </c>
      <c r="F504" s="170"/>
      <c r="G504" s="170"/>
      <c r="H504" s="170"/>
      <c r="I504" s="170"/>
      <c r="J504" s="170"/>
      <c r="K504" s="170"/>
      <c r="L504" s="170"/>
      <c r="M504" s="170"/>
      <c r="N504" s="170"/>
      <c r="O504" s="201"/>
    </row>
    <row r="505" spans="1:15" s="139" customFormat="1" ht="15.75">
      <c r="A505" s="205" t="str">
        <f>IF(ISNA(VLOOKUP(D505,'Standard Smelter Names'!$B$3:$E$153,4,FALSE)),"",VLOOKUP(D505,'Standard Smelter Names'!$B$3:$E$153,4,FALSE))</f>
        <v/>
      </c>
      <c r="B505" s="170"/>
      <c r="C505" s="184"/>
      <c r="D505" s="184" t="str">
        <f t="shared" si="14"/>
        <v/>
      </c>
      <c r="E505" s="170" t="str">
        <f t="shared" si="15"/>
        <v/>
      </c>
      <c r="F505" s="170"/>
      <c r="G505" s="170"/>
      <c r="H505" s="170"/>
      <c r="I505" s="170"/>
      <c r="J505" s="170"/>
      <c r="K505" s="170"/>
      <c r="L505" s="170"/>
      <c r="M505" s="170"/>
      <c r="N505" s="170"/>
      <c r="O505" s="201"/>
    </row>
    <row r="506" spans="1:15" s="139" customFormat="1" ht="15.75">
      <c r="A506" s="205" t="str">
        <f>IF(ISNA(VLOOKUP(D506,'Standard Smelter Names'!$B$3:$E$153,4,FALSE)),"",VLOOKUP(D506,'Standard Smelter Names'!$B$3:$E$153,4,FALSE))</f>
        <v/>
      </c>
      <c r="B506" s="170"/>
      <c r="C506" s="184"/>
      <c r="D506" s="184" t="str">
        <f t="shared" si="14"/>
        <v/>
      </c>
      <c r="E506" s="170" t="str">
        <f t="shared" si="15"/>
        <v/>
      </c>
      <c r="F506" s="170"/>
      <c r="G506" s="170"/>
      <c r="H506" s="170"/>
      <c r="I506" s="170"/>
      <c r="J506" s="170"/>
      <c r="K506" s="170"/>
      <c r="L506" s="170"/>
      <c r="M506" s="170"/>
      <c r="N506" s="170"/>
      <c r="O506" s="201"/>
    </row>
    <row r="507" spans="1:15" s="139" customFormat="1" ht="15.75">
      <c r="A507" s="205" t="str">
        <f>IF(ISNA(VLOOKUP(D507,'Standard Smelter Names'!$B$3:$E$153,4,FALSE)),"",VLOOKUP(D507,'Standard Smelter Names'!$B$3:$E$153,4,FALSE))</f>
        <v/>
      </c>
      <c r="B507" s="170"/>
      <c r="C507" s="184"/>
      <c r="D507" s="184" t="str">
        <f t="shared" si="14"/>
        <v/>
      </c>
      <c r="E507" s="170" t="str">
        <f t="shared" si="15"/>
        <v/>
      </c>
      <c r="F507" s="170"/>
      <c r="G507" s="170"/>
      <c r="H507" s="170"/>
      <c r="I507" s="170"/>
      <c r="J507" s="170"/>
      <c r="K507" s="170"/>
      <c r="L507" s="170"/>
      <c r="M507" s="170"/>
      <c r="N507" s="170"/>
      <c r="O507" s="201"/>
    </row>
    <row r="508" spans="1:15" s="139" customFormat="1" ht="15.75">
      <c r="A508" s="205" t="str">
        <f>IF(ISNA(VLOOKUP(D508,'Standard Smelter Names'!$B$3:$E$153,4,FALSE)),"",VLOOKUP(D508,'Standard Smelter Names'!$B$3:$E$153,4,FALSE))</f>
        <v/>
      </c>
      <c r="B508" s="170"/>
      <c r="C508" s="184"/>
      <c r="D508" s="184" t="str">
        <f t="shared" si="14"/>
        <v/>
      </c>
      <c r="E508" s="170" t="str">
        <f t="shared" si="15"/>
        <v/>
      </c>
      <c r="F508" s="170"/>
      <c r="G508" s="170"/>
      <c r="H508" s="170"/>
      <c r="I508" s="170"/>
      <c r="J508" s="170"/>
      <c r="K508" s="170"/>
      <c r="L508" s="170"/>
      <c r="M508" s="170"/>
      <c r="N508" s="170"/>
      <c r="O508" s="201"/>
    </row>
    <row r="509" spans="1:15" s="139" customFormat="1" ht="15.75">
      <c r="A509" s="205" t="str">
        <f>IF(ISNA(VLOOKUP(D509,'Standard Smelter Names'!$B$3:$E$153,4,FALSE)),"",VLOOKUP(D509,'Standard Smelter Names'!$B$3:$E$153,4,FALSE))</f>
        <v/>
      </c>
      <c r="B509" s="170"/>
      <c r="C509" s="184"/>
      <c r="D509" s="184" t="str">
        <f t="shared" si="14"/>
        <v/>
      </c>
      <c r="E509" s="170" t="str">
        <f t="shared" si="15"/>
        <v/>
      </c>
      <c r="F509" s="170"/>
      <c r="G509" s="170"/>
      <c r="H509" s="170"/>
      <c r="I509" s="170"/>
      <c r="J509" s="170"/>
      <c r="K509" s="170"/>
      <c r="L509" s="170"/>
      <c r="M509" s="170"/>
      <c r="N509" s="170"/>
      <c r="O509" s="201"/>
    </row>
    <row r="510" spans="1:15" s="139" customFormat="1" ht="15.75">
      <c r="A510" s="205" t="str">
        <f>IF(ISNA(VLOOKUP(D510,'Standard Smelter Names'!$B$3:$E$153,4,FALSE)),"",VLOOKUP(D510,'Standard Smelter Names'!$B$3:$E$153,4,FALSE))</f>
        <v/>
      </c>
      <c r="B510" s="170"/>
      <c r="C510" s="184"/>
      <c r="D510" s="184" t="str">
        <f t="shared" si="14"/>
        <v/>
      </c>
      <c r="E510" s="170" t="str">
        <f t="shared" si="15"/>
        <v/>
      </c>
      <c r="F510" s="170"/>
      <c r="G510" s="170"/>
      <c r="H510" s="170"/>
      <c r="I510" s="170"/>
      <c r="J510" s="170"/>
      <c r="K510" s="170"/>
      <c r="L510" s="170"/>
      <c r="M510" s="170"/>
      <c r="N510" s="170"/>
      <c r="O510" s="201"/>
    </row>
    <row r="511" spans="1:15" s="139" customFormat="1" ht="15.75">
      <c r="A511" s="205" t="str">
        <f>IF(ISNA(VLOOKUP(D511,'Standard Smelter Names'!$B$3:$E$153,4,FALSE)),"",VLOOKUP(D511,'Standard Smelter Names'!$B$3:$E$153,4,FALSE))</f>
        <v/>
      </c>
      <c r="B511" s="170"/>
      <c r="C511" s="184"/>
      <c r="D511" s="184" t="str">
        <f t="shared" si="14"/>
        <v/>
      </c>
      <c r="E511" s="170" t="str">
        <f t="shared" si="15"/>
        <v/>
      </c>
      <c r="F511" s="170"/>
      <c r="G511" s="170"/>
      <c r="H511" s="170"/>
      <c r="I511" s="170"/>
      <c r="J511" s="170"/>
      <c r="K511" s="170"/>
      <c r="L511" s="170"/>
      <c r="M511" s="170"/>
      <c r="N511" s="170"/>
      <c r="O511" s="201"/>
    </row>
    <row r="512" spans="1:15" s="139" customFormat="1" ht="15.75">
      <c r="A512" s="205" t="str">
        <f>IF(ISNA(VLOOKUP(D512,'Standard Smelter Names'!$B$3:$E$153,4,FALSE)),"",VLOOKUP(D512,'Standard Smelter Names'!$B$3:$E$153,4,FALSE))</f>
        <v/>
      </c>
      <c r="B512" s="170"/>
      <c r="C512" s="184"/>
      <c r="D512" s="184" t="str">
        <f t="shared" si="14"/>
        <v/>
      </c>
      <c r="E512" s="170" t="str">
        <f t="shared" si="15"/>
        <v/>
      </c>
      <c r="F512" s="170"/>
      <c r="G512" s="170"/>
      <c r="H512" s="170"/>
      <c r="I512" s="170"/>
      <c r="J512" s="170"/>
      <c r="K512" s="170"/>
      <c r="L512" s="170"/>
      <c r="M512" s="170"/>
      <c r="N512" s="170"/>
      <c r="O512" s="201"/>
    </row>
    <row r="513" spans="1:15" s="139" customFormat="1" ht="15.75">
      <c r="A513" s="205" t="str">
        <f>IF(ISNA(VLOOKUP(D513,'Standard Smelter Names'!$B$3:$E$153,4,FALSE)),"",VLOOKUP(D513,'Standard Smelter Names'!$B$3:$E$153,4,FALSE))</f>
        <v/>
      </c>
      <c r="B513" s="170"/>
      <c r="C513" s="184"/>
      <c r="D513" s="184" t="str">
        <f t="shared" si="14"/>
        <v/>
      </c>
      <c r="E513" s="170" t="str">
        <f t="shared" si="15"/>
        <v/>
      </c>
      <c r="F513" s="170"/>
      <c r="G513" s="170"/>
      <c r="H513" s="170"/>
      <c r="I513" s="170"/>
      <c r="J513" s="170"/>
      <c r="K513" s="170"/>
      <c r="L513" s="170"/>
      <c r="M513" s="170"/>
      <c r="N513" s="170"/>
      <c r="O513" s="201"/>
    </row>
    <row r="514" spans="1:15" s="139" customFormat="1" ht="15.75">
      <c r="A514" s="205" t="str">
        <f>IF(ISNA(VLOOKUP(D514,'Standard Smelter Names'!$B$3:$E$153,4,FALSE)),"",VLOOKUP(D514,'Standard Smelter Names'!$B$3:$E$153,4,FALSE))</f>
        <v/>
      </c>
      <c r="B514" s="170"/>
      <c r="C514" s="184"/>
      <c r="D514" s="184" t="str">
        <f t="shared" si="14"/>
        <v/>
      </c>
      <c r="E514" s="170" t="str">
        <f t="shared" si="15"/>
        <v/>
      </c>
      <c r="F514" s="170"/>
      <c r="G514" s="170"/>
      <c r="H514" s="170"/>
      <c r="I514" s="170"/>
      <c r="J514" s="170"/>
      <c r="K514" s="170"/>
      <c r="L514" s="170"/>
      <c r="M514" s="170"/>
      <c r="N514" s="170"/>
      <c r="O514" s="201"/>
    </row>
    <row r="515" spans="1:15" s="139" customFormat="1" ht="15.75">
      <c r="A515" s="205" t="str">
        <f>IF(ISNA(VLOOKUP(D515,'Standard Smelter Names'!$B$3:$E$153,4,FALSE)),"",VLOOKUP(D515,'Standard Smelter Names'!$B$3:$E$153,4,FALSE))</f>
        <v/>
      </c>
      <c r="B515" s="170"/>
      <c r="C515" s="184"/>
      <c r="D515" s="184" t="str">
        <f t="shared" si="14"/>
        <v/>
      </c>
      <c r="E515" s="170" t="str">
        <f t="shared" si="15"/>
        <v/>
      </c>
      <c r="F515" s="170"/>
      <c r="G515" s="170"/>
      <c r="H515" s="170"/>
      <c r="I515" s="170"/>
      <c r="J515" s="170"/>
      <c r="K515" s="170"/>
      <c r="L515" s="170"/>
      <c r="M515" s="170"/>
      <c r="N515" s="170"/>
      <c r="O515" s="201"/>
    </row>
    <row r="516" spans="1:15" s="139" customFormat="1" ht="15.75">
      <c r="A516" s="205" t="str">
        <f>IF(ISNA(VLOOKUP(D516,'Standard Smelter Names'!$B$3:$E$153,4,FALSE)),"",VLOOKUP(D516,'Standard Smelter Names'!$B$3:$E$153,4,FALSE))</f>
        <v/>
      </c>
      <c r="B516" s="170"/>
      <c r="C516" s="184"/>
      <c r="D516" s="184" t="str">
        <f t="shared" si="14"/>
        <v/>
      </c>
      <c r="E516" s="170" t="str">
        <f t="shared" si="15"/>
        <v/>
      </c>
      <c r="F516" s="170"/>
      <c r="G516" s="170"/>
      <c r="H516" s="170"/>
      <c r="I516" s="170"/>
      <c r="J516" s="170"/>
      <c r="K516" s="170"/>
      <c r="L516" s="170"/>
      <c r="M516" s="170"/>
      <c r="N516" s="170"/>
      <c r="O516" s="201"/>
    </row>
    <row r="517" spans="1:15" s="139" customFormat="1" ht="15.75">
      <c r="A517" s="205" t="str">
        <f>IF(ISNA(VLOOKUP(D517,'Standard Smelter Names'!$B$3:$E$153,4,FALSE)),"",VLOOKUP(D517,'Standard Smelter Names'!$B$3:$E$153,4,FALSE))</f>
        <v/>
      </c>
      <c r="B517" s="170"/>
      <c r="C517" s="184"/>
      <c r="D517" s="184" t="str">
        <f t="shared" ref="D517:D580" si="16">IF(ISNA(VLOOKUP(C517,$G$1023:$I$1309,3,FALSE)),"",VLOOKUP(C517,$G$1023:$I$1309,3,FALSE))</f>
        <v/>
      </c>
      <c r="E517" s="170" t="str">
        <f t="shared" ref="E517:E580" si="17">IF(ISNA(VLOOKUP(C517,$G$1023:$I$1309,2,FALSE)),"",VLOOKUP(C517,$G$1023:$I$1309,2,FALSE))</f>
        <v/>
      </c>
      <c r="F517" s="170"/>
      <c r="G517" s="170"/>
      <c r="H517" s="170"/>
      <c r="I517" s="170"/>
      <c r="J517" s="170"/>
      <c r="K517" s="170"/>
      <c r="L517" s="170"/>
      <c r="M517" s="170"/>
      <c r="N517" s="170"/>
      <c r="O517" s="201"/>
    </row>
    <row r="518" spans="1:15" s="139" customFormat="1" ht="15.75">
      <c r="A518" s="205" t="str">
        <f>IF(ISNA(VLOOKUP(D518,'Standard Smelter Names'!$B$3:$E$153,4,FALSE)),"",VLOOKUP(D518,'Standard Smelter Names'!$B$3:$E$153,4,FALSE))</f>
        <v/>
      </c>
      <c r="B518" s="170"/>
      <c r="C518" s="184"/>
      <c r="D518" s="184" t="str">
        <f t="shared" si="16"/>
        <v/>
      </c>
      <c r="E518" s="170" t="str">
        <f t="shared" si="17"/>
        <v/>
      </c>
      <c r="F518" s="170"/>
      <c r="G518" s="170"/>
      <c r="H518" s="170"/>
      <c r="I518" s="170"/>
      <c r="J518" s="170"/>
      <c r="K518" s="170"/>
      <c r="L518" s="170"/>
      <c r="M518" s="170"/>
      <c r="N518" s="170"/>
      <c r="O518" s="201"/>
    </row>
    <row r="519" spans="1:15" s="139" customFormat="1" ht="15.75">
      <c r="A519" s="205" t="str">
        <f>IF(ISNA(VLOOKUP(D519,'Standard Smelter Names'!$B$3:$E$153,4,FALSE)),"",VLOOKUP(D519,'Standard Smelter Names'!$B$3:$E$153,4,FALSE))</f>
        <v/>
      </c>
      <c r="B519" s="170"/>
      <c r="C519" s="184"/>
      <c r="D519" s="184" t="str">
        <f t="shared" si="16"/>
        <v/>
      </c>
      <c r="E519" s="170" t="str">
        <f t="shared" si="17"/>
        <v/>
      </c>
      <c r="F519" s="170"/>
      <c r="G519" s="170"/>
      <c r="H519" s="170"/>
      <c r="I519" s="170"/>
      <c r="J519" s="170"/>
      <c r="K519" s="170"/>
      <c r="L519" s="170"/>
      <c r="M519" s="170"/>
      <c r="N519" s="170"/>
      <c r="O519" s="201"/>
    </row>
    <row r="520" spans="1:15" s="139" customFormat="1" ht="15.75">
      <c r="A520" s="205" t="str">
        <f>IF(ISNA(VLOOKUP(D520,'Standard Smelter Names'!$B$3:$E$153,4,FALSE)),"",VLOOKUP(D520,'Standard Smelter Names'!$B$3:$E$153,4,FALSE))</f>
        <v/>
      </c>
      <c r="B520" s="170"/>
      <c r="C520" s="184"/>
      <c r="D520" s="184" t="str">
        <f t="shared" si="16"/>
        <v/>
      </c>
      <c r="E520" s="170" t="str">
        <f t="shared" si="17"/>
        <v/>
      </c>
      <c r="F520" s="170"/>
      <c r="G520" s="170"/>
      <c r="H520" s="170"/>
      <c r="I520" s="170"/>
      <c r="J520" s="170"/>
      <c r="K520" s="170"/>
      <c r="L520" s="170"/>
      <c r="M520" s="170"/>
      <c r="N520" s="170"/>
      <c r="O520" s="201"/>
    </row>
    <row r="521" spans="1:15" s="139" customFormat="1" ht="15.75">
      <c r="A521" s="205" t="str">
        <f>IF(ISNA(VLOOKUP(D521,'Standard Smelter Names'!$B$3:$E$153,4,FALSE)),"",VLOOKUP(D521,'Standard Smelter Names'!$B$3:$E$153,4,FALSE))</f>
        <v/>
      </c>
      <c r="B521" s="170"/>
      <c r="C521" s="184"/>
      <c r="D521" s="184" t="str">
        <f t="shared" si="16"/>
        <v/>
      </c>
      <c r="E521" s="170" t="str">
        <f t="shared" si="17"/>
        <v/>
      </c>
      <c r="F521" s="170"/>
      <c r="G521" s="170"/>
      <c r="H521" s="170"/>
      <c r="I521" s="170"/>
      <c r="J521" s="170"/>
      <c r="K521" s="170"/>
      <c r="L521" s="170"/>
      <c r="M521" s="170"/>
      <c r="N521" s="170"/>
      <c r="O521" s="201"/>
    </row>
    <row r="522" spans="1:15" s="139" customFormat="1" ht="15.75">
      <c r="A522" s="205" t="str">
        <f>IF(ISNA(VLOOKUP(D522,'Standard Smelter Names'!$B$3:$E$153,4,FALSE)),"",VLOOKUP(D522,'Standard Smelter Names'!$B$3:$E$153,4,FALSE))</f>
        <v/>
      </c>
      <c r="B522" s="170"/>
      <c r="C522" s="184"/>
      <c r="D522" s="184" t="str">
        <f t="shared" si="16"/>
        <v/>
      </c>
      <c r="E522" s="170" t="str">
        <f t="shared" si="17"/>
        <v/>
      </c>
      <c r="F522" s="170"/>
      <c r="G522" s="170"/>
      <c r="H522" s="170"/>
      <c r="I522" s="170"/>
      <c r="J522" s="170"/>
      <c r="K522" s="170"/>
      <c r="L522" s="170"/>
      <c r="M522" s="170"/>
      <c r="N522" s="170"/>
      <c r="O522" s="201"/>
    </row>
    <row r="523" spans="1:15" s="139" customFormat="1" ht="15.75">
      <c r="A523" s="205" t="str">
        <f>IF(ISNA(VLOOKUP(D523,'Standard Smelter Names'!$B$3:$E$153,4,FALSE)),"",VLOOKUP(D523,'Standard Smelter Names'!$B$3:$E$153,4,FALSE))</f>
        <v/>
      </c>
      <c r="B523" s="170"/>
      <c r="C523" s="184"/>
      <c r="D523" s="184" t="str">
        <f t="shared" si="16"/>
        <v/>
      </c>
      <c r="E523" s="170" t="str">
        <f t="shared" si="17"/>
        <v/>
      </c>
      <c r="F523" s="170"/>
      <c r="G523" s="170"/>
      <c r="H523" s="170"/>
      <c r="I523" s="170"/>
      <c r="J523" s="170"/>
      <c r="K523" s="170"/>
      <c r="L523" s="170"/>
      <c r="M523" s="170"/>
      <c r="N523" s="170"/>
      <c r="O523" s="201"/>
    </row>
    <row r="524" spans="1:15" s="139" customFormat="1" ht="15.75">
      <c r="A524" s="205" t="str">
        <f>IF(ISNA(VLOOKUP(D524,'Standard Smelter Names'!$B$3:$E$153,4,FALSE)),"",VLOOKUP(D524,'Standard Smelter Names'!$B$3:$E$153,4,FALSE))</f>
        <v/>
      </c>
      <c r="B524" s="170"/>
      <c r="C524" s="184"/>
      <c r="D524" s="184" t="str">
        <f t="shared" si="16"/>
        <v/>
      </c>
      <c r="E524" s="170" t="str">
        <f t="shared" si="17"/>
        <v/>
      </c>
      <c r="F524" s="170"/>
      <c r="G524" s="170"/>
      <c r="H524" s="170"/>
      <c r="I524" s="170"/>
      <c r="J524" s="170"/>
      <c r="K524" s="170"/>
      <c r="L524" s="170"/>
      <c r="M524" s="170"/>
      <c r="N524" s="170"/>
      <c r="O524" s="201"/>
    </row>
    <row r="525" spans="1:15" s="139" customFormat="1" ht="15.75">
      <c r="A525" s="205" t="str">
        <f>IF(ISNA(VLOOKUP(D525,'Standard Smelter Names'!$B$3:$E$153,4,FALSE)),"",VLOOKUP(D525,'Standard Smelter Names'!$B$3:$E$153,4,FALSE))</f>
        <v/>
      </c>
      <c r="B525" s="170"/>
      <c r="C525" s="184"/>
      <c r="D525" s="184" t="str">
        <f t="shared" si="16"/>
        <v/>
      </c>
      <c r="E525" s="170" t="str">
        <f t="shared" si="17"/>
        <v/>
      </c>
      <c r="F525" s="170"/>
      <c r="G525" s="170"/>
      <c r="H525" s="170"/>
      <c r="I525" s="170"/>
      <c r="J525" s="170"/>
      <c r="K525" s="170"/>
      <c r="L525" s="170"/>
      <c r="M525" s="170"/>
      <c r="N525" s="170"/>
      <c r="O525" s="201"/>
    </row>
    <row r="526" spans="1:15" s="139" customFormat="1" ht="15.75">
      <c r="A526" s="205" t="str">
        <f>IF(ISNA(VLOOKUP(D526,'Standard Smelter Names'!$B$3:$E$153,4,FALSE)),"",VLOOKUP(D526,'Standard Smelter Names'!$B$3:$E$153,4,FALSE))</f>
        <v/>
      </c>
      <c r="B526" s="170"/>
      <c r="C526" s="184"/>
      <c r="D526" s="184" t="str">
        <f t="shared" si="16"/>
        <v/>
      </c>
      <c r="E526" s="170" t="str">
        <f t="shared" si="17"/>
        <v/>
      </c>
      <c r="F526" s="170"/>
      <c r="G526" s="170"/>
      <c r="H526" s="170"/>
      <c r="I526" s="170"/>
      <c r="J526" s="170"/>
      <c r="K526" s="170"/>
      <c r="L526" s="170"/>
      <c r="M526" s="170"/>
      <c r="N526" s="170"/>
      <c r="O526" s="201"/>
    </row>
    <row r="527" spans="1:15" s="139" customFormat="1" ht="15.75">
      <c r="A527" s="205" t="str">
        <f>IF(ISNA(VLOOKUP(D527,'Standard Smelter Names'!$B$3:$E$153,4,FALSE)),"",VLOOKUP(D527,'Standard Smelter Names'!$B$3:$E$153,4,FALSE))</f>
        <v/>
      </c>
      <c r="B527" s="170"/>
      <c r="C527" s="184"/>
      <c r="D527" s="184" t="str">
        <f t="shared" si="16"/>
        <v/>
      </c>
      <c r="E527" s="170" t="str">
        <f t="shared" si="17"/>
        <v/>
      </c>
      <c r="F527" s="170"/>
      <c r="G527" s="170"/>
      <c r="H527" s="170"/>
      <c r="I527" s="170"/>
      <c r="J527" s="170"/>
      <c r="K527" s="170"/>
      <c r="L527" s="170"/>
      <c r="M527" s="170"/>
      <c r="N527" s="170"/>
      <c r="O527" s="201"/>
    </row>
    <row r="528" spans="1:15" s="139" customFormat="1" ht="15.75">
      <c r="A528" s="205" t="str">
        <f>IF(ISNA(VLOOKUP(D528,'Standard Smelter Names'!$B$3:$E$153,4,FALSE)),"",VLOOKUP(D528,'Standard Smelter Names'!$B$3:$E$153,4,FALSE))</f>
        <v/>
      </c>
      <c r="B528" s="170"/>
      <c r="C528" s="184"/>
      <c r="D528" s="184" t="str">
        <f t="shared" si="16"/>
        <v/>
      </c>
      <c r="E528" s="170" t="str">
        <f t="shared" si="17"/>
        <v/>
      </c>
      <c r="F528" s="170"/>
      <c r="G528" s="170"/>
      <c r="H528" s="170"/>
      <c r="I528" s="170"/>
      <c r="J528" s="170"/>
      <c r="K528" s="170"/>
      <c r="L528" s="170"/>
      <c r="M528" s="170"/>
      <c r="N528" s="170"/>
      <c r="O528" s="201"/>
    </row>
    <row r="529" spans="1:15" s="139" customFormat="1" ht="15.75">
      <c r="A529" s="205" t="str">
        <f>IF(ISNA(VLOOKUP(D529,'Standard Smelter Names'!$B$3:$E$153,4,FALSE)),"",VLOOKUP(D529,'Standard Smelter Names'!$B$3:$E$153,4,FALSE))</f>
        <v/>
      </c>
      <c r="B529" s="170"/>
      <c r="C529" s="184"/>
      <c r="D529" s="184" t="str">
        <f t="shared" si="16"/>
        <v/>
      </c>
      <c r="E529" s="170" t="str">
        <f t="shared" si="17"/>
        <v/>
      </c>
      <c r="F529" s="170"/>
      <c r="G529" s="170"/>
      <c r="H529" s="170"/>
      <c r="I529" s="170"/>
      <c r="J529" s="170"/>
      <c r="K529" s="170"/>
      <c r="L529" s="170"/>
      <c r="M529" s="170"/>
      <c r="N529" s="170"/>
      <c r="O529" s="201"/>
    </row>
    <row r="530" spans="1:15" s="139" customFormat="1" ht="15.75">
      <c r="A530" s="205" t="str">
        <f>IF(ISNA(VLOOKUP(D530,'Standard Smelter Names'!$B$3:$E$153,4,FALSE)),"",VLOOKUP(D530,'Standard Smelter Names'!$B$3:$E$153,4,FALSE))</f>
        <v/>
      </c>
      <c r="B530" s="170"/>
      <c r="C530" s="184"/>
      <c r="D530" s="184" t="str">
        <f t="shared" si="16"/>
        <v/>
      </c>
      <c r="E530" s="170" t="str">
        <f t="shared" si="17"/>
        <v/>
      </c>
      <c r="F530" s="170"/>
      <c r="G530" s="170"/>
      <c r="H530" s="170"/>
      <c r="I530" s="170"/>
      <c r="J530" s="170"/>
      <c r="K530" s="170"/>
      <c r="L530" s="170"/>
      <c r="M530" s="170"/>
      <c r="N530" s="170"/>
      <c r="O530" s="201"/>
    </row>
    <row r="531" spans="1:15" s="139" customFormat="1" ht="15.75">
      <c r="A531" s="205" t="str">
        <f>IF(ISNA(VLOOKUP(D531,'Standard Smelter Names'!$B$3:$E$153,4,FALSE)),"",VLOOKUP(D531,'Standard Smelter Names'!$B$3:$E$153,4,FALSE))</f>
        <v/>
      </c>
      <c r="B531" s="170"/>
      <c r="C531" s="184"/>
      <c r="D531" s="184" t="str">
        <f t="shared" si="16"/>
        <v/>
      </c>
      <c r="E531" s="170" t="str">
        <f t="shared" si="17"/>
        <v/>
      </c>
      <c r="F531" s="170"/>
      <c r="G531" s="170"/>
      <c r="H531" s="170"/>
      <c r="I531" s="170"/>
      <c r="J531" s="170"/>
      <c r="K531" s="170"/>
      <c r="L531" s="170"/>
      <c r="M531" s="170"/>
      <c r="N531" s="170"/>
      <c r="O531" s="201"/>
    </row>
    <row r="532" spans="1:15" s="139" customFormat="1" ht="15.75">
      <c r="A532" s="205" t="str">
        <f>IF(ISNA(VLOOKUP(D532,'Standard Smelter Names'!$B$3:$E$153,4,FALSE)),"",VLOOKUP(D532,'Standard Smelter Names'!$B$3:$E$153,4,FALSE))</f>
        <v/>
      </c>
      <c r="B532" s="170"/>
      <c r="C532" s="184"/>
      <c r="D532" s="184" t="str">
        <f t="shared" si="16"/>
        <v/>
      </c>
      <c r="E532" s="170" t="str">
        <f t="shared" si="17"/>
        <v/>
      </c>
      <c r="F532" s="170"/>
      <c r="G532" s="170"/>
      <c r="H532" s="170"/>
      <c r="I532" s="170"/>
      <c r="J532" s="170"/>
      <c r="K532" s="170"/>
      <c r="L532" s="170"/>
      <c r="M532" s="170"/>
      <c r="N532" s="170"/>
      <c r="O532" s="201"/>
    </row>
    <row r="533" spans="1:15" s="139" customFormat="1" ht="15.75">
      <c r="A533" s="205" t="str">
        <f>IF(ISNA(VLOOKUP(D533,'Standard Smelter Names'!$B$3:$E$153,4,FALSE)),"",VLOOKUP(D533,'Standard Smelter Names'!$B$3:$E$153,4,FALSE))</f>
        <v/>
      </c>
      <c r="B533" s="170"/>
      <c r="C533" s="184"/>
      <c r="D533" s="184" t="str">
        <f t="shared" si="16"/>
        <v/>
      </c>
      <c r="E533" s="170" t="str">
        <f t="shared" si="17"/>
        <v/>
      </c>
      <c r="F533" s="170"/>
      <c r="G533" s="170"/>
      <c r="H533" s="170"/>
      <c r="I533" s="170"/>
      <c r="J533" s="170"/>
      <c r="K533" s="170"/>
      <c r="L533" s="170"/>
      <c r="M533" s="170"/>
      <c r="N533" s="170"/>
      <c r="O533" s="201"/>
    </row>
    <row r="534" spans="1:15" s="139" customFormat="1" ht="15.75">
      <c r="A534" s="205" t="str">
        <f>IF(ISNA(VLOOKUP(D534,'Standard Smelter Names'!$B$3:$E$153,4,FALSE)),"",VLOOKUP(D534,'Standard Smelter Names'!$B$3:$E$153,4,FALSE))</f>
        <v/>
      </c>
      <c r="B534" s="170"/>
      <c r="C534" s="184"/>
      <c r="D534" s="184" t="str">
        <f t="shared" si="16"/>
        <v/>
      </c>
      <c r="E534" s="170" t="str">
        <f t="shared" si="17"/>
        <v/>
      </c>
      <c r="F534" s="170"/>
      <c r="G534" s="170"/>
      <c r="H534" s="170"/>
      <c r="I534" s="170"/>
      <c r="J534" s="170"/>
      <c r="K534" s="170"/>
      <c r="L534" s="170"/>
      <c r="M534" s="170"/>
      <c r="N534" s="170"/>
      <c r="O534" s="201"/>
    </row>
    <row r="535" spans="1:15" s="139" customFormat="1" ht="15.75">
      <c r="A535" s="205" t="str">
        <f>IF(ISNA(VLOOKUP(D535,'Standard Smelter Names'!$B$3:$E$153,4,FALSE)),"",VLOOKUP(D535,'Standard Smelter Names'!$B$3:$E$153,4,FALSE))</f>
        <v/>
      </c>
      <c r="B535" s="170"/>
      <c r="C535" s="184"/>
      <c r="D535" s="184" t="str">
        <f t="shared" si="16"/>
        <v/>
      </c>
      <c r="E535" s="170" t="str">
        <f t="shared" si="17"/>
        <v/>
      </c>
      <c r="F535" s="170"/>
      <c r="G535" s="170"/>
      <c r="H535" s="170"/>
      <c r="I535" s="170"/>
      <c r="J535" s="170"/>
      <c r="K535" s="170"/>
      <c r="L535" s="170"/>
      <c r="M535" s="170"/>
      <c r="N535" s="170"/>
      <c r="O535" s="201"/>
    </row>
    <row r="536" spans="1:15" s="139" customFormat="1" ht="15.75">
      <c r="A536" s="205" t="str">
        <f>IF(ISNA(VLOOKUP(D536,'Standard Smelter Names'!$B$3:$E$153,4,FALSE)),"",VLOOKUP(D536,'Standard Smelter Names'!$B$3:$E$153,4,FALSE))</f>
        <v/>
      </c>
      <c r="B536" s="170"/>
      <c r="C536" s="184"/>
      <c r="D536" s="184" t="str">
        <f t="shared" si="16"/>
        <v/>
      </c>
      <c r="E536" s="170" t="str">
        <f t="shared" si="17"/>
        <v/>
      </c>
      <c r="F536" s="170"/>
      <c r="G536" s="170"/>
      <c r="H536" s="170"/>
      <c r="I536" s="170"/>
      <c r="J536" s="170"/>
      <c r="K536" s="170"/>
      <c r="L536" s="170"/>
      <c r="M536" s="170"/>
      <c r="N536" s="170"/>
      <c r="O536" s="201"/>
    </row>
    <row r="537" spans="1:15" s="139" customFormat="1" ht="15.75">
      <c r="A537" s="205" t="str">
        <f>IF(ISNA(VLOOKUP(D537,'Standard Smelter Names'!$B$3:$E$153,4,FALSE)),"",VLOOKUP(D537,'Standard Smelter Names'!$B$3:$E$153,4,FALSE))</f>
        <v/>
      </c>
      <c r="B537" s="170"/>
      <c r="C537" s="184"/>
      <c r="D537" s="184" t="str">
        <f t="shared" si="16"/>
        <v/>
      </c>
      <c r="E537" s="170" t="str">
        <f t="shared" si="17"/>
        <v/>
      </c>
      <c r="F537" s="170"/>
      <c r="G537" s="170"/>
      <c r="H537" s="170"/>
      <c r="I537" s="170"/>
      <c r="J537" s="170"/>
      <c r="K537" s="170"/>
      <c r="L537" s="170"/>
      <c r="M537" s="170"/>
      <c r="N537" s="170"/>
      <c r="O537" s="201"/>
    </row>
    <row r="538" spans="1:15" s="139" customFormat="1" ht="15.75">
      <c r="A538" s="205" t="str">
        <f>IF(ISNA(VLOOKUP(D538,'Standard Smelter Names'!$B$3:$E$153,4,FALSE)),"",VLOOKUP(D538,'Standard Smelter Names'!$B$3:$E$153,4,FALSE))</f>
        <v/>
      </c>
      <c r="B538" s="170"/>
      <c r="C538" s="184"/>
      <c r="D538" s="184" t="str">
        <f t="shared" si="16"/>
        <v/>
      </c>
      <c r="E538" s="170" t="str">
        <f t="shared" si="17"/>
        <v/>
      </c>
      <c r="F538" s="170"/>
      <c r="G538" s="170"/>
      <c r="H538" s="170"/>
      <c r="I538" s="170"/>
      <c r="J538" s="170"/>
      <c r="K538" s="170"/>
      <c r="L538" s="170"/>
      <c r="M538" s="170"/>
      <c r="N538" s="170"/>
      <c r="O538" s="201"/>
    </row>
    <row r="539" spans="1:15" s="139" customFormat="1" ht="15.75">
      <c r="A539" s="205" t="str">
        <f>IF(ISNA(VLOOKUP(D539,'Standard Smelter Names'!$B$3:$E$153,4,FALSE)),"",VLOOKUP(D539,'Standard Smelter Names'!$B$3:$E$153,4,FALSE))</f>
        <v/>
      </c>
      <c r="B539" s="170"/>
      <c r="C539" s="184"/>
      <c r="D539" s="184" t="str">
        <f t="shared" si="16"/>
        <v/>
      </c>
      <c r="E539" s="170" t="str">
        <f t="shared" si="17"/>
        <v/>
      </c>
      <c r="F539" s="170"/>
      <c r="G539" s="170"/>
      <c r="H539" s="170"/>
      <c r="I539" s="170"/>
      <c r="J539" s="170"/>
      <c r="K539" s="170"/>
      <c r="L539" s="170"/>
      <c r="M539" s="170"/>
      <c r="N539" s="170"/>
      <c r="O539" s="201"/>
    </row>
    <row r="540" spans="1:15" s="139" customFormat="1" ht="15.75">
      <c r="A540" s="205" t="str">
        <f>IF(ISNA(VLOOKUP(D540,'Standard Smelter Names'!$B$3:$E$153,4,FALSE)),"",VLOOKUP(D540,'Standard Smelter Names'!$B$3:$E$153,4,FALSE))</f>
        <v/>
      </c>
      <c r="B540" s="170"/>
      <c r="C540" s="184"/>
      <c r="D540" s="184" t="str">
        <f t="shared" si="16"/>
        <v/>
      </c>
      <c r="E540" s="170" t="str">
        <f t="shared" si="17"/>
        <v/>
      </c>
      <c r="F540" s="170"/>
      <c r="G540" s="170"/>
      <c r="H540" s="170"/>
      <c r="I540" s="170"/>
      <c r="J540" s="170"/>
      <c r="K540" s="170"/>
      <c r="L540" s="170"/>
      <c r="M540" s="170"/>
      <c r="N540" s="170"/>
      <c r="O540" s="201"/>
    </row>
    <row r="541" spans="1:15" s="139" customFormat="1" ht="15.75">
      <c r="A541" s="205" t="str">
        <f>IF(ISNA(VLOOKUP(D541,'Standard Smelter Names'!$B$3:$E$153,4,FALSE)),"",VLOOKUP(D541,'Standard Smelter Names'!$B$3:$E$153,4,FALSE))</f>
        <v/>
      </c>
      <c r="B541" s="170"/>
      <c r="C541" s="184"/>
      <c r="D541" s="184" t="str">
        <f t="shared" si="16"/>
        <v/>
      </c>
      <c r="E541" s="170" t="str">
        <f t="shared" si="17"/>
        <v/>
      </c>
      <c r="F541" s="170"/>
      <c r="G541" s="170"/>
      <c r="H541" s="170"/>
      <c r="I541" s="170"/>
      <c r="J541" s="170"/>
      <c r="K541" s="170"/>
      <c r="L541" s="170"/>
      <c r="M541" s="170"/>
      <c r="N541" s="170"/>
      <c r="O541" s="201"/>
    </row>
    <row r="542" spans="1:15" s="139" customFormat="1" ht="15.75">
      <c r="A542" s="205" t="str">
        <f>IF(ISNA(VLOOKUP(D542,'Standard Smelter Names'!$B$3:$E$153,4,FALSE)),"",VLOOKUP(D542,'Standard Smelter Names'!$B$3:$E$153,4,FALSE))</f>
        <v/>
      </c>
      <c r="B542" s="170"/>
      <c r="C542" s="184"/>
      <c r="D542" s="184" t="str">
        <f t="shared" si="16"/>
        <v/>
      </c>
      <c r="E542" s="170" t="str">
        <f t="shared" si="17"/>
        <v/>
      </c>
      <c r="F542" s="170"/>
      <c r="G542" s="170"/>
      <c r="H542" s="170"/>
      <c r="I542" s="170"/>
      <c r="J542" s="170"/>
      <c r="K542" s="170"/>
      <c r="L542" s="170"/>
      <c r="M542" s="170"/>
      <c r="N542" s="170"/>
      <c r="O542" s="201"/>
    </row>
    <row r="543" spans="1:15" s="139" customFormat="1" ht="15.75">
      <c r="A543" s="205" t="str">
        <f>IF(ISNA(VLOOKUP(D543,'Standard Smelter Names'!$B$3:$E$153,4,FALSE)),"",VLOOKUP(D543,'Standard Smelter Names'!$B$3:$E$153,4,FALSE))</f>
        <v/>
      </c>
      <c r="B543" s="170"/>
      <c r="C543" s="184"/>
      <c r="D543" s="184" t="str">
        <f t="shared" si="16"/>
        <v/>
      </c>
      <c r="E543" s="170" t="str">
        <f t="shared" si="17"/>
        <v/>
      </c>
      <c r="F543" s="170"/>
      <c r="G543" s="170"/>
      <c r="H543" s="170"/>
      <c r="I543" s="170"/>
      <c r="J543" s="170"/>
      <c r="K543" s="170"/>
      <c r="L543" s="170"/>
      <c r="M543" s="170"/>
      <c r="N543" s="170"/>
      <c r="O543" s="201"/>
    </row>
    <row r="544" spans="1:15" s="139" customFormat="1" ht="15.75">
      <c r="A544" s="205" t="str">
        <f>IF(ISNA(VLOOKUP(D544,'Standard Smelter Names'!$B$3:$E$153,4,FALSE)),"",VLOOKUP(D544,'Standard Smelter Names'!$B$3:$E$153,4,FALSE))</f>
        <v/>
      </c>
      <c r="B544" s="170"/>
      <c r="C544" s="184"/>
      <c r="D544" s="184" t="str">
        <f t="shared" si="16"/>
        <v/>
      </c>
      <c r="E544" s="170" t="str">
        <f t="shared" si="17"/>
        <v/>
      </c>
      <c r="F544" s="170"/>
      <c r="G544" s="170"/>
      <c r="H544" s="170"/>
      <c r="I544" s="170"/>
      <c r="J544" s="170"/>
      <c r="K544" s="170"/>
      <c r="L544" s="170"/>
      <c r="M544" s="170"/>
      <c r="N544" s="170"/>
      <c r="O544" s="201"/>
    </row>
    <row r="545" spans="1:15" s="139" customFormat="1" ht="15.75">
      <c r="A545" s="205" t="str">
        <f>IF(ISNA(VLOOKUP(D545,'Standard Smelter Names'!$B$3:$E$153,4,FALSE)),"",VLOOKUP(D545,'Standard Smelter Names'!$B$3:$E$153,4,FALSE))</f>
        <v/>
      </c>
      <c r="B545" s="170"/>
      <c r="C545" s="184"/>
      <c r="D545" s="184" t="str">
        <f t="shared" si="16"/>
        <v/>
      </c>
      <c r="E545" s="170" t="str">
        <f t="shared" si="17"/>
        <v/>
      </c>
      <c r="F545" s="170"/>
      <c r="G545" s="170"/>
      <c r="H545" s="170"/>
      <c r="I545" s="170"/>
      <c r="J545" s="170"/>
      <c r="K545" s="170"/>
      <c r="L545" s="170"/>
      <c r="M545" s="170"/>
      <c r="N545" s="170"/>
      <c r="O545" s="201"/>
    </row>
    <row r="546" spans="1:15" s="139" customFormat="1" ht="15.75">
      <c r="A546" s="205" t="str">
        <f>IF(ISNA(VLOOKUP(D546,'Standard Smelter Names'!$B$3:$E$153,4,FALSE)),"",VLOOKUP(D546,'Standard Smelter Names'!$B$3:$E$153,4,FALSE))</f>
        <v/>
      </c>
      <c r="B546" s="170"/>
      <c r="C546" s="184"/>
      <c r="D546" s="184" t="str">
        <f t="shared" si="16"/>
        <v/>
      </c>
      <c r="E546" s="170" t="str">
        <f t="shared" si="17"/>
        <v/>
      </c>
      <c r="F546" s="170"/>
      <c r="G546" s="170"/>
      <c r="H546" s="170"/>
      <c r="I546" s="170"/>
      <c r="J546" s="170"/>
      <c r="K546" s="170"/>
      <c r="L546" s="170"/>
      <c r="M546" s="170"/>
      <c r="N546" s="170"/>
      <c r="O546" s="201"/>
    </row>
    <row r="547" spans="1:15" s="139" customFormat="1" ht="15.75">
      <c r="A547" s="205" t="str">
        <f>IF(ISNA(VLOOKUP(D547,'Standard Smelter Names'!$B$3:$E$153,4,FALSE)),"",VLOOKUP(D547,'Standard Smelter Names'!$B$3:$E$153,4,FALSE))</f>
        <v/>
      </c>
      <c r="B547" s="170"/>
      <c r="C547" s="184"/>
      <c r="D547" s="184" t="str">
        <f t="shared" si="16"/>
        <v/>
      </c>
      <c r="E547" s="170" t="str">
        <f t="shared" si="17"/>
        <v/>
      </c>
      <c r="F547" s="170"/>
      <c r="G547" s="170"/>
      <c r="H547" s="170"/>
      <c r="I547" s="170"/>
      <c r="J547" s="170"/>
      <c r="K547" s="170"/>
      <c r="L547" s="170"/>
      <c r="M547" s="170"/>
      <c r="N547" s="170"/>
      <c r="O547" s="201"/>
    </row>
    <row r="548" spans="1:15" s="139" customFormat="1" ht="15.75">
      <c r="A548" s="205" t="str">
        <f>IF(ISNA(VLOOKUP(D548,'Standard Smelter Names'!$B$3:$E$153,4,FALSE)),"",VLOOKUP(D548,'Standard Smelter Names'!$B$3:$E$153,4,FALSE))</f>
        <v/>
      </c>
      <c r="B548" s="170"/>
      <c r="C548" s="184"/>
      <c r="D548" s="184" t="str">
        <f t="shared" si="16"/>
        <v/>
      </c>
      <c r="E548" s="170" t="str">
        <f t="shared" si="17"/>
        <v/>
      </c>
      <c r="F548" s="170"/>
      <c r="G548" s="170"/>
      <c r="H548" s="170"/>
      <c r="I548" s="170"/>
      <c r="J548" s="170"/>
      <c r="K548" s="170"/>
      <c r="L548" s="170"/>
      <c r="M548" s="170"/>
      <c r="N548" s="170"/>
      <c r="O548" s="201"/>
    </row>
    <row r="549" spans="1:15" s="139" customFormat="1" ht="15.75">
      <c r="A549" s="205" t="str">
        <f>IF(ISNA(VLOOKUP(D549,'Standard Smelter Names'!$B$3:$E$153,4,FALSE)),"",VLOOKUP(D549,'Standard Smelter Names'!$B$3:$E$153,4,FALSE))</f>
        <v/>
      </c>
      <c r="B549" s="170"/>
      <c r="C549" s="184"/>
      <c r="D549" s="184" t="str">
        <f t="shared" si="16"/>
        <v/>
      </c>
      <c r="E549" s="170" t="str">
        <f t="shared" si="17"/>
        <v/>
      </c>
      <c r="F549" s="170"/>
      <c r="G549" s="170"/>
      <c r="H549" s="170"/>
      <c r="I549" s="170"/>
      <c r="J549" s="170"/>
      <c r="K549" s="170"/>
      <c r="L549" s="170"/>
      <c r="M549" s="170"/>
      <c r="N549" s="170"/>
      <c r="O549" s="201"/>
    </row>
    <row r="550" spans="1:15" s="139" customFormat="1" ht="15.75">
      <c r="A550" s="205" t="str">
        <f>IF(ISNA(VLOOKUP(D550,'Standard Smelter Names'!$B$3:$E$153,4,FALSE)),"",VLOOKUP(D550,'Standard Smelter Names'!$B$3:$E$153,4,FALSE))</f>
        <v/>
      </c>
      <c r="B550" s="170"/>
      <c r="C550" s="184"/>
      <c r="D550" s="184" t="str">
        <f t="shared" si="16"/>
        <v/>
      </c>
      <c r="E550" s="170" t="str">
        <f t="shared" si="17"/>
        <v/>
      </c>
      <c r="F550" s="170"/>
      <c r="G550" s="170"/>
      <c r="H550" s="170"/>
      <c r="I550" s="170"/>
      <c r="J550" s="170"/>
      <c r="K550" s="170"/>
      <c r="L550" s="170"/>
      <c r="M550" s="170"/>
      <c r="N550" s="170"/>
      <c r="O550" s="201"/>
    </row>
    <row r="551" spans="1:15" s="139" customFormat="1" ht="15.75">
      <c r="A551" s="205" t="str">
        <f>IF(ISNA(VLOOKUP(D551,'Standard Smelter Names'!$B$3:$E$153,4,FALSE)),"",VLOOKUP(D551,'Standard Smelter Names'!$B$3:$E$153,4,FALSE))</f>
        <v/>
      </c>
      <c r="B551" s="170"/>
      <c r="C551" s="184"/>
      <c r="D551" s="184" t="str">
        <f t="shared" si="16"/>
        <v/>
      </c>
      <c r="E551" s="170" t="str">
        <f t="shared" si="17"/>
        <v/>
      </c>
      <c r="F551" s="170"/>
      <c r="G551" s="170"/>
      <c r="H551" s="170"/>
      <c r="I551" s="170"/>
      <c r="J551" s="170"/>
      <c r="K551" s="170"/>
      <c r="L551" s="170"/>
      <c r="M551" s="170"/>
      <c r="N551" s="170"/>
      <c r="O551" s="201"/>
    </row>
    <row r="552" spans="1:15" s="139" customFormat="1" ht="15.75">
      <c r="A552" s="205" t="str">
        <f>IF(ISNA(VLOOKUP(D552,'Standard Smelter Names'!$B$3:$E$153,4,FALSE)),"",VLOOKUP(D552,'Standard Smelter Names'!$B$3:$E$153,4,FALSE))</f>
        <v/>
      </c>
      <c r="B552" s="170"/>
      <c r="C552" s="184"/>
      <c r="D552" s="184" t="str">
        <f t="shared" si="16"/>
        <v/>
      </c>
      <c r="E552" s="170" t="str">
        <f t="shared" si="17"/>
        <v/>
      </c>
      <c r="F552" s="170"/>
      <c r="G552" s="170"/>
      <c r="H552" s="170"/>
      <c r="I552" s="170"/>
      <c r="J552" s="170"/>
      <c r="K552" s="170"/>
      <c r="L552" s="170"/>
      <c r="M552" s="170"/>
      <c r="N552" s="170"/>
      <c r="O552" s="201"/>
    </row>
    <row r="553" spans="1:15" s="139" customFormat="1" ht="15.75">
      <c r="A553" s="205" t="str">
        <f>IF(ISNA(VLOOKUP(D553,'Standard Smelter Names'!$B$3:$E$153,4,FALSE)),"",VLOOKUP(D553,'Standard Smelter Names'!$B$3:$E$153,4,FALSE))</f>
        <v/>
      </c>
      <c r="B553" s="170"/>
      <c r="C553" s="184"/>
      <c r="D553" s="184" t="str">
        <f t="shared" si="16"/>
        <v/>
      </c>
      <c r="E553" s="170" t="str">
        <f t="shared" si="17"/>
        <v/>
      </c>
      <c r="F553" s="170"/>
      <c r="G553" s="170"/>
      <c r="H553" s="170"/>
      <c r="I553" s="170"/>
      <c r="J553" s="170"/>
      <c r="K553" s="170"/>
      <c r="L553" s="170"/>
      <c r="M553" s="170"/>
      <c r="N553" s="170"/>
      <c r="O553" s="201"/>
    </row>
    <row r="554" spans="1:15" s="139" customFormat="1" ht="15.75">
      <c r="A554" s="205" t="str">
        <f>IF(ISNA(VLOOKUP(D554,'Standard Smelter Names'!$B$3:$E$153,4,FALSE)),"",VLOOKUP(D554,'Standard Smelter Names'!$B$3:$E$153,4,FALSE))</f>
        <v/>
      </c>
      <c r="B554" s="170"/>
      <c r="C554" s="184"/>
      <c r="D554" s="184" t="str">
        <f t="shared" si="16"/>
        <v/>
      </c>
      <c r="E554" s="170" t="str">
        <f t="shared" si="17"/>
        <v/>
      </c>
      <c r="F554" s="170"/>
      <c r="G554" s="170"/>
      <c r="H554" s="170"/>
      <c r="I554" s="170"/>
      <c r="J554" s="170"/>
      <c r="K554" s="170"/>
      <c r="L554" s="170"/>
      <c r="M554" s="170"/>
      <c r="N554" s="170"/>
      <c r="O554" s="201"/>
    </row>
    <row r="555" spans="1:15" s="139" customFormat="1" ht="15.75">
      <c r="A555" s="205" t="str">
        <f>IF(ISNA(VLOOKUP(D555,'Standard Smelter Names'!$B$3:$E$153,4,FALSE)),"",VLOOKUP(D555,'Standard Smelter Names'!$B$3:$E$153,4,FALSE))</f>
        <v/>
      </c>
      <c r="B555" s="170"/>
      <c r="C555" s="184"/>
      <c r="D555" s="184" t="str">
        <f t="shared" si="16"/>
        <v/>
      </c>
      <c r="E555" s="170" t="str">
        <f t="shared" si="17"/>
        <v/>
      </c>
      <c r="F555" s="170"/>
      <c r="G555" s="170"/>
      <c r="H555" s="170"/>
      <c r="I555" s="170"/>
      <c r="J555" s="170"/>
      <c r="K555" s="170"/>
      <c r="L555" s="170"/>
      <c r="M555" s="170"/>
      <c r="N555" s="170"/>
      <c r="O555" s="201"/>
    </row>
    <row r="556" spans="1:15" s="139" customFormat="1" ht="15.75">
      <c r="A556" s="205" t="str">
        <f>IF(ISNA(VLOOKUP(D556,'Standard Smelter Names'!$B$3:$E$153,4,FALSE)),"",VLOOKUP(D556,'Standard Smelter Names'!$B$3:$E$153,4,FALSE))</f>
        <v/>
      </c>
      <c r="B556" s="170"/>
      <c r="C556" s="184"/>
      <c r="D556" s="184" t="str">
        <f t="shared" si="16"/>
        <v/>
      </c>
      <c r="E556" s="170" t="str">
        <f t="shared" si="17"/>
        <v/>
      </c>
      <c r="F556" s="170"/>
      <c r="G556" s="170"/>
      <c r="H556" s="170"/>
      <c r="I556" s="170"/>
      <c r="J556" s="170"/>
      <c r="K556" s="170"/>
      <c r="L556" s="170"/>
      <c r="M556" s="170"/>
      <c r="N556" s="170"/>
      <c r="O556" s="201"/>
    </row>
    <row r="557" spans="1:15" s="139" customFormat="1" ht="15.75">
      <c r="A557" s="205" t="str">
        <f>IF(ISNA(VLOOKUP(D557,'Standard Smelter Names'!$B$3:$E$153,4,FALSE)),"",VLOOKUP(D557,'Standard Smelter Names'!$B$3:$E$153,4,FALSE))</f>
        <v/>
      </c>
      <c r="B557" s="170"/>
      <c r="C557" s="184"/>
      <c r="D557" s="184" t="str">
        <f t="shared" si="16"/>
        <v/>
      </c>
      <c r="E557" s="170" t="str">
        <f t="shared" si="17"/>
        <v/>
      </c>
      <c r="F557" s="170"/>
      <c r="G557" s="170"/>
      <c r="H557" s="170"/>
      <c r="I557" s="170"/>
      <c r="J557" s="170"/>
      <c r="K557" s="170"/>
      <c r="L557" s="170"/>
      <c r="M557" s="170"/>
      <c r="N557" s="170"/>
      <c r="O557" s="201"/>
    </row>
    <row r="558" spans="1:15" s="139" customFormat="1" ht="15.75">
      <c r="A558" s="205" t="str">
        <f>IF(ISNA(VLOOKUP(D558,'Standard Smelter Names'!$B$3:$E$153,4,FALSE)),"",VLOOKUP(D558,'Standard Smelter Names'!$B$3:$E$153,4,FALSE))</f>
        <v/>
      </c>
      <c r="B558" s="170"/>
      <c r="C558" s="184"/>
      <c r="D558" s="184" t="str">
        <f t="shared" si="16"/>
        <v/>
      </c>
      <c r="E558" s="170" t="str">
        <f t="shared" si="17"/>
        <v/>
      </c>
      <c r="F558" s="170"/>
      <c r="G558" s="170"/>
      <c r="H558" s="170"/>
      <c r="I558" s="170"/>
      <c r="J558" s="170"/>
      <c r="K558" s="170"/>
      <c r="L558" s="170"/>
      <c r="M558" s="170"/>
      <c r="N558" s="170"/>
      <c r="O558" s="201"/>
    </row>
    <row r="559" spans="1:15" s="139" customFormat="1" ht="15.75">
      <c r="A559" s="205" t="str">
        <f>IF(ISNA(VLOOKUP(D559,'Standard Smelter Names'!$B$3:$E$153,4,FALSE)),"",VLOOKUP(D559,'Standard Smelter Names'!$B$3:$E$153,4,FALSE))</f>
        <v/>
      </c>
      <c r="B559" s="170"/>
      <c r="C559" s="184"/>
      <c r="D559" s="184" t="str">
        <f t="shared" si="16"/>
        <v/>
      </c>
      <c r="E559" s="170" t="str">
        <f t="shared" si="17"/>
        <v/>
      </c>
      <c r="F559" s="170"/>
      <c r="G559" s="170"/>
      <c r="H559" s="170"/>
      <c r="I559" s="170"/>
      <c r="J559" s="170"/>
      <c r="K559" s="170"/>
      <c r="L559" s="170"/>
      <c r="M559" s="170"/>
      <c r="N559" s="170"/>
      <c r="O559" s="201"/>
    </row>
    <row r="560" spans="1:15" s="139" customFormat="1" ht="15.75">
      <c r="A560" s="205" t="str">
        <f>IF(ISNA(VLOOKUP(D560,'Standard Smelter Names'!$B$3:$E$153,4,FALSE)),"",VLOOKUP(D560,'Standard Smelter Names'!$B$3:$E$153,4,FALSE))</f>
        <v/>
      </c>
      <c r="B560" s="170"/>
      <c r="C560" s="184"/>
      <c r="D560" s="184" t="str">
        <f t="shared" si="16"/>
        <v/>
      </c>
      <c r="E560" s="170" t="str">
        <f t="shared" si="17"/>
        <v/>
      </c>
      <c r="F560" s="170"/>
      <c r="G560" s="170"/>
      <c r="H560" s="170"/>
      <c r="I560" s="170"/>
      <c r="J560" s="170"/>
      <c r="K560" s="170"/>
      <c r="L560" s="170"/>
      <c r="M560" s="170"/>
      <c r="N560" s="170"/>
      <c r="O560" s="201"/>
    </row>
    <row r="561" spans="1:15" s="139" customFormat="1" ht="15.75">
      <c r="A561" s="205" t="str">
        <f>IF(ISNA(VLOOKUP(D561,'Standard Smelter Names'!$B$3:$E$153,4,FALSE)),"",VLOOKUP(D561,'Standard Smelter Names'!$B$3:$E$153,4,FALSE))</f>
        <v/>
      </c>
      <c r="B561" s="170"/>
      <c r="C561" s="184"/>
      <c r="D561" s="184" t="str">
        <f t="shared" si="16"/>
        <v/>
      </c>
      <c r="E561" s="170" t="str">
        <f t="shared" si="17"/>
        <v/>
      </c>
      <c r="F561" s="170"/>
      <c r="G561" s="170"/>
      <c r="H561" s="170"/>
      <c r="I561" s="170"/>
      <c r="J561" s="170"/>
      <c r="K561" s="170"/>
      <c r="L561" s="170"/>
      <c r="M561" s="170"/>
      <c r="N561" s="170"/>
      <c r="O561" s="201"/>
    </row>
    <row r="562" spans="1:15" s="139" customFormat="1" ht="15.75">
      <c r="A562" s="205" t="str">
        <f>IF(ISNA(VLOOKUP(D562,'Standard Smelter Names'!$B$3:$E$153,4,FALSE)),"",VLOOKUP(D562,'Standard Smelter Names'!$B$3:$E$153,4,FALSE))</f>
        <v/>
      </c>
      <c r="B562" s="170"/>
      <c r="C562" s="184"/>
      <c r="D562" s="184" t="str">
        <f t="shared" si="16"/>
        <v/>
      </c>
      <c r="E562" s="170" t="str">
        <f t="shared" si="17"/>
        <v/>
      </c>
      <c r="F562" s="170"/>
      <c r="G562" s="170"/>
      <c r="H562" s="170"/>
      <c r="I562" s="170"/>
      <c r="J562" s="170"/>
      <c r="K562" s="170"/>
      <c r="L562" s="170"/>
      <c r="M562" s="170"/>
      <c r="N562" s="170"/>
      <c r="O562" s="201"/>
    </row>
    <row r="563" spans="1:15" s="139" customFormat="1" ht="15.75">
      <c r="A563" s="205" t="str">
        <f>IF(ISNA(VLOOKUP(D563,'Standard Smelter Names'!$B$3:$E$153,4,FALSE)),"",VLOOKUP(D563,'Standard Smelter Names'!$B$3:$E$153,4,FALSE))</f>
        <v/>
      </c>
      <c r="B563" s="170"/>
      <c r="C563" s="184"/>
      <c r="D563" s="184" t="str">
        <f t="shared" si="16"/>
        <v/>
      </c>
      <c r="E563" s="170" t="str">
        <f t="shared" si="17"/>
        <v/>
      </c>
      <c r="F563" s="170"/>
      <c r="G563" s="170"/>
      <c r="H563" s="170"/>
      <c r="I563" s="170"/>
      <c r="J563" s="170"/>
      <c r="K563" s="170"/>
      <c r="L563" s="170"/>
      <c r="M563" s="170"/>
      <c r="N563" s="170"/>
      <c r="O563" s="201"/>
    </row>
    <row r="564" spans="1:15" s="139" customFormat="1" ht="15.75">
      <c r="A564" s="205" t="str">
        <f>IF(ISNA(VLOOKUP(D564,'Standard Smelter Names'!$B$3:$E$153,4,FALSE)),"",VLOOKUP(D564,'Standard Smelter Names'!$B$3:$E$153,4,FALSE))</f>
        <v/>
      </c>
      <c r="B564" s="170"/>
      <c r="C564" s="184"/>
      <c r="D564" s="184" t="str">
        <f t="shared" si="16"/>
        <v/>
      </c>
      <c r="E564" s="170" t="str">
        <f t="shared" si="17"/>
        <v/>
      </c>
      <c r="F564" s="170"/>
      <c r="G564" s="170"/>
      <c r="H564" s="170"/>
      <c r="I564" s="170"/>
      <c r="J564" s="170"/>
      <c r="K564" s="170"/>
      <c r="L564" s="170"/>
      <c r="M564" s="170"/>
      <c r="N564" s="170"/>
      <c r="O564" s="201"/>
    </row>
    <row r="565" spans="1:15" s="139" customFormat="1" ht="15.75">
      <c r="A565" s="205" t="str">
        <f>IF(ISNA(VLOOKUP(D565,'Standard Smelter Names'!$B$3:$E$153,4,FALSE)),"",VLOOKUP(D565,'Standard Smelter Names'!$B$3:$E$153,4,FALSE))</f>
        <v/>
      </c>
      <c r="B565" s="170"/>
      <c r="C565" s="184"/>
      <c r="D565" s="184" t="str">
        <f t="shared" si="16"/>
        <v/>
      </c>
      <c r="E565" s="170" t="str">
        <f t="shared" si="17"/>
        <v/>
      </c>
      <c r="F565" s="170"/>
      <c r="G565" s="170"/>
      <c r="H565" s="170"/>
      <c r="I565" s="170"/>
      <c r="J565" s="170"/>
      <c r="K565" s="170"/>
      <c r="L565" s="170"/>
      <c r="M565" s="170"/>
      <c r="N565" s="170"/>
      <c r="O565" s="201"/>
    </row>
    <row r="566" spans="1:15" s="139" customFormat="1" ht="15.75">
      <c r="A566" s="205" t="str">
        <f>IF(ISNA(VLOOKUP(D566,'Standard Smelter Names'!$B$3:$E$153,4,FALSE)),"",VLOOKUP(D566,'Standard Smelter Names'!$B$3:$E$153,4,FALSE))</f>
        <v/>
      </c>
      <c r="B566" s="170"/>
      <c r="C566" s="184"/>
      <c r="D566" s="184" t="str">
        <f t="shared" si="16"/>
        <v/>
      </c>
      <c r="E566" s="170" t="str">
        <f t="shared" si="17"/>
        <v/>
      </c>
      <c r="F566" s="170"/>
      <c r="G566" s="170"/>
      <c r="H566" s="170"/>
      <c r="I566" s="170"/>
      <c r="J566" s="170"/>
      <c r="K566" s="170"/>
      <c r="L566" s="170"/>
      <c r="M566" s="170"/>
      <c r="N566" s="170"/>
      <c r="O566" s="201"/>
    </row>
    <row r="567" spans="1:15" s="139" customFormat="1" ht="15.75">
      <c r="A567" s="205" t="str">
        <f>IF(ISNA(VLOOKUP(D567,'Standard Smelter Names'!$B$3:$E$153,4,FALSE)),"",VLOOKUP(D567,'Standard Smelter Names'!$B$3:$E$153,4,FALSE))</f>
        <v/>
      </c>
      <c r="B567" s="170"/>
      <c r="C567" s="184"/>
      <c r="D567" s="184" t="str">
        <f t="shared" si="16"/>
        <v/>
      </c>
      <c r="E567" s="170" t="str">
        <f t="shared" si="17"/>
        <v/>
      </c>
      <c r="F567" s="170"/>
      <c r="G567" s="170"/>
      <c r="H567" s="170"/>
      <c r="I567" s="170"/>
      <c r="J567" s="170"/>
      <c r="K567" s="170"/>
      <c r="L567" s="170"/>
      <c r="M567" s="170"/>
      <c r="N567" s="170"/>
      <c r="O567" s="201"/>
    </row>
    <row r="568" spans="1:15" s="139" customFormat="1" ht="15.75">
      <c r="A568" s="205" t="str">
        <f>IF(ISNA(VLOOKUP(D568,'Standard Smelter Names'!$B$3:$E$153,4,FALSE)),"",VLOOKUP(D568,'Standard Smelter Names'!$B$3:$E$153,4,FALSE))</f>
        <v/>
      </c>
      <c r="B568" s="170"/>
      <c r="C568" s="184"/>
      <c r="D568" s="184" t="str">
        <f t="shared" si="16"/>
        <v/>
      </c>
      <c r="E568" s="170" t="str">
        <f t="shared" si="17"/>
        <v/>
      </c>
      <c r="F568" s="170"/>
      <c r="G568" s="170"/>
      <c r="H568" s="170"/>
      <c r="I568" s="170"/>
      <c r="J568" s="170"/>
      <c r="K568" s="170"/>
      <c r="L568" s="170"/>
      <c r="M568" s="170"/>
      <c r="N568" s="170"/>
      <c r="O568" s="201"/>
    </row>
    <row r="569" spans="1:15" s="139" customFormat="1" ht="15.75">
      <c r="A569" s="205" t="str">
        <f>IF(ISNA(VLOOKUP(D569,'Standard Smelter Names'!$B$3:$E$153,4,FALSE)),"",VLOOKUP(D569,'Standard Smelter Names'!$B$3:$E$153,4,FALSE))</f>
        <v/>
      </c>
      <c r="B569" s="170"/>
      <c r="C569" s="184"/>
      <c r="D569" s="184" t="str">
        <f t="shared" si="16"/>
        <v/>
      </c>
      <c r="E569" s="170" t="str">
        <f t="shared" si="17"/>
        <v/>
      </c>
      <c r="F569" s="170"/>
      <c r="G569" s="170"/>
      <c r="H569" s="170"/>
      <c r="I569" s="170"/>
      <c r="J569" s="170"/>
      <c r="K569" s="170"/>
      <c r="L569" s="170"/>
      <c r="M569" s="170"/>
      <c r="N569" s="170"/>
      <c r="O569" s="201"/>
    </row>
    <row r="570" spans="1:15" s="139" customFormat="1" ht="15.75">
      <c r="A570" s="205" t="str">
        <f>IF(ISNA(VLOOKUP(D570,'Standard Smelter Names'!$B$3:$E$153,4,FALSE)),"",VLOOKUP(D570,'Standard Smelter Names'!$B$3:$E$153,4,FALSE))</f>
        <v/>
      </c>
      <c r="B570" s="170"/>
      <c r="C570" s="184"/>
      <c r="D570" s="184" t="str">
        <f t="shared" si="16"/>
        <v/>
      </c>
      <c r="E570" s="170" t="str">
        <f t="shared" si="17"/>
        <v/>
      </c>
      <c r="F570" s="170"/>
      <c r="G570" s="170"/>
      <c r="H570" s="170"/>
      <c r="I570" s="170"/>
      <c r="J570" s="170"/>
      <c r="K570" s="170"/>
      <c r="L570" s="170"/>
      <c r="M570" s="170"/>
      <c r="N570" s="170"/>
      <c r="O570" s="201"/>
    </row>
    <row r="571" spans="1:15" s="139" customFormat="1" ht="15.75">
      <c r="A571" s="205" t="str">
        <f>IF(ISNA(VLOOKUP(D571,'Standard Smelter Names'!$B$3:$E$153,4,FALSE)),"",VLOOKUP(D571,'Standard Smelter Names'!$B$3:$E$153,4,FALSE))</f>
        <v/>
      </c>
      <c r="B571" s="170"/>
      <c r="C571" s="184"/>
      <c r="D571" s="184" t="str">
        <f t="shared" si="16"/>
        <v/>
      </c>
      <c r="E571" s="170" t="str">
        <f t="shared" si="17"/>
        <v/>
      </c>
      <c r="F571" s="170"/>
      <c r="G571" s="170"/>
      <c r="H571" s="170"/>
      <c r="I571" s="170"/>
      <c r="J571" s="170"/>
      <c r="K571" s="170"/>
      <c r="L571" s="170"/>
      <c r="M571" s="170"/>
      <c r="N571" s="170"/>
      <c r="O571" s="201"/>
    </row>
    <row r="572" spans="1:15" s="139" customFormat="1" ht="15.75">
      <c r="A572" s="205" t="str">
        <f>IF(ISNA(VLOOKUP(D572,'Standard Smelter Names'!$B$3:$E$153,4,FALSE)),"",VLOOKUP(D572,'Standard Smelter Names'!$B$3:$E$153,4,FALSE))</f>
        <v/>
      </c>
      <c r="B572" s="170"/>
      <c r="C572" s="184"/>
      <c r="D572" s="184" t="str">
        <f t="shared" si="16"/>
        <v/>
      </c>
      <c r="E572" s="170" t="str">
        <f t="shared" si="17"/>
        <v/>
      </c>
      <c r="F572" s="170"/>
      <c r="G572" s="170"/>
      <c r="H572" s="170"/>
      <c r="I572" s="170"/>
      <c r="J572" s="170"/>
      <c r="K572" s="170"/>
      <c r="L572" s="170"/>
      <c r="M572" s="170"/>
      <c r="N572" s="170"/>
      <c r="O572" s="201"/>
    </row>
    <row r="573" spans="1:15" s="139" customFormat="1" ht="15.75">
      <c r="A573" s="205" t="str">
        <f>IF(ISNA(VLOOKUP(D573,'Standard Smelter Names'!$B$3:$E$153,4,FALSE)),"",VLOOKUP(D573,'Standard Smelter Names'!$B$3:$E$153,4,FALSE))</f>
        <v/>
      </c>
      <c r="B573" s="170"/>
      <c r="C573" s="184"/>
      <c r="D573" s="184" t="str">
        <f t="shared" si="16"/>
        <v/>
      </c>
      <c r="E573" s="170" t="str">
        <f t="shared" si="17"/>
        <v/>
      </c>
      <c r="F573" s="170"/>
      <c r="G573" s="170"/>
      <c r="H573" s="170"/>
      <c r="I573" s="170"/>
      <c r="J573" s="170"/>
      <c r="K573" s="170"/>
      <c r="L573" s="170"/>
      <c r="M573" s="170"/>
      <c r="N573" s="170"/>
      <c r="O573" s="201"/>
    </row>
    <row r="574" spans="1:15" s="139" customFormat="1" ht="15.75">
      <c r="A574" s="205" t="str">
        <f>IF(ISNA(VLOOKUP(D574,'Standard Smelter Names'!$B$3:$E$153,4,FALSE)),"",VLOOKUP(D574,'Standard Smelter Names'!$B$3:$E$153,4,FALSE))</f>
        <v/>
      </c>
      <c r="B574" s="170"/>
      <c r="C574" s="184"/>
      <c r="D574" s="184" t="str">
        <f t="shared" si="16"/>
        <v/>
      </c>
      <c r="E574" s="170" t="str">
        <f t="shared" si="17"/>
        <v/>
      </c>
      <c r="F574" s="170"/>
      <c r="G574" s="170"/>
      <c r="H574" s="170"/>
      <c r="I574" s="170"/>
      <c r="J574" s="170"/>
      <c r="K574" s="170"/>
      <c r="L574" s="170"/>
      <c r="M574" s="170"/>
      <c r="N574" s="170"/>
      <c r="O574" s="201"/>
    </row>
    <row r="575" spans="1:15" s="139" customFormat="1" ht="15.75">
      <c r="A575" s="205" t="str">
        <f>IF(ISNA(VLOOKUP(D575,'Standard Smelter Names'!$B$3:$E$153,4,FALSE)),"",VLOOKUP(D575,'Standard Smelter Names'!$B$3:$E$153,4,FALSE))</f>
        <v/>
      </c>
      <c r="B575" s="170"/>
      <c r="C575" s="184"/>
      <c r="D575" s="184" t="str">
        <f t="shared" si="16"/>
        <v/>
      </c>
      <c r="E575" s="170" t="str">
        <f t="shared" si="17"/>
        <v/>
      </c>
      <c r="F575" s="170"/>
      <c r="G575" s="170"/>
      <c r="H575" s="170"/>
      <c r="I575" s="170"/>
      <c r="J575" s="170"/>
      <c r="K575" s="170"/>
      <c r="L575" s="170"/>
      <c r="M575" s="170"/>
      <c r="N575" s="170"/>
      <c r="O575" s="201"/>
    </row>
    <row r="576" spans="1:15" s="139" customFormat="1" ht="15.75">
      <c r="A576" s="205" t="str">
        <f>IF(ISNA(VLOOKUP(D576,'Standard Smelter Names'!$B$3:$E$153,4,FALSE)),"",VLOOKUP(D576,'Standard Smelter Names'!$B$3:$E$153,4,FALSE))</f>
        <v/>
      </c>
      <c r="B576" s="170"/>
      <c r="C576" s="184"/>
      <c r="D576" s="184" t="str">
        <f t="shared" si="16"/>
        <v/>
      </c>
      <c r="E576" s="170" t="str">
        <f t="shared" si="17"/>
        <v/>
      </c>
      <c r="F576" s="170"/>
      <c r="G576" s="170"/>
      <c r="H576" s="170"/>
      <c r="I576" s="170"/>
      <c r="J576" s="170"/>
      <c r="K576" s="170"/>
      <c r="L576" s="170"/>
      <c r="M576" s="170"/>
      <c r="N576" s="170"/>
      <c r="O576" s="201"/>
    </row>
    <row r="577" spans="1:15" s="139" customFormat="1" ht="15.75">
      <c r="A577" s="205" t="str">
        <f>IF(ISNA(VLOOKUP(D577,'Standard Smelter Names'!$B$3:$E$153,4,FALSE)),"",VLOOKUP(D577,'Standard Smelter Names'!$B$3:$E$153,4,FALSE))</f>
        <v/>
      </c>
      <c r="B577" s="170"/>
      <c r="C577" s="184"/>
      <c r="D577" s="184" t="str">
        <f t="shared" si="16"/>
        <v/>
      </c>
      <c r="E577" s="170" t="str">
        <f t="shared" si="17"/>
        <v/>
      </c>
      <c r="F577" s="170"/>
      <c r="G577" s="170"/>
      <c r="H577" s="170"/>
      <c r="I577" s="170"/>
      <c r="J577" s="170"/>
      <c r="K577" s="170"/>
      <c r="L577" s="170"/>
      <c r="M577" s="170"/>
      <c r="N577" s="170"/>
      <c r="O577" s="201"/>
    </row>
    <row r="578" spans="1:15" s="139" customFormat="1" ht="15.75">
      <c r="A578" s="205" t="str">
        <f>IF(ISNA(VLOOKUP(D578,'Standard Smelter Names'!$B$3:$E$153,4,FALSE)),"",VLOOKUP(D578,'Standard Smelter Names'!$B$3:$E$153,4,FALSE))</f>
        <v/>
      </c>
      <c r="B578" s="170"/>
      <c r="C578" s="184"/>
      <c r="D578" s="184" t="str">
        <f t="shared" si="16"/>
        <v/>
      </c>
      <c r="E578" s="170" t="str">
        <f t="shared" si="17"/>
        <v/>
      </c>
      <c r="F578" s="170"/>
      <c r="G578" s="170"/>
      <c r="H578" s="170"/>
      <c r="I578" s="170"/>
      <c r="J578" s="170"/>
      <c r="K578" s="170"/>
      <c r="L578" s="170"/>
      <c r="M578" s="170"/>
      <c r="N578" s="170"/>
      <c r="O578" s="201"/>
    </row>
    <row r="579" spans="1:15" s="139" customFormat="1" ht="15.75">
      <c r="A579" s="205" t="str">
        <f>IF(ISNA(VLOOKUP(D579,'Standard Smelter Names'!$B$3:$E$153,4,FALSE)),"",VLOOKUP(D579,'Standard Smelter Names'!$B$3:$E$153,4,FALSE))</f>
        <v/>
      </c>
      <c r="B579" s="170"/>
      <c r="C579" s="184"/>
      <c r="D579" s="184" t="str">
        <f t="shared" si="16"/>
        <v/>
      </c>
      <c r="E579" s="170" t="str">
        <f t="shared" si="17"/>
        <v/>
      </c>
      <c r="F579" s="170"/>
      <c r="G579" s="170"/>
      <c r="H579" s="170"/>
      <c r="I579" s="170"/>
      <c r="J579" s="170"/>
      <c r="K579" s="170"/>
      <c r="L579" s="170"/>
      <c r="M579" s="170"/>
      <c r="N579" s="170"/>
      <c r="O579" s="201"/>
    </row>
    <row r="580" spans="1:15" s="139" customFormat="1" ht="15.75">
      <c r="A580" s="205" t="str">
        <f>IF(ISNA(VLOOKUP(D580,'Standard Smelter Names'!$B$3:$E$153,4,FALSE)),"",VLOOKUP(D580,'Standard Smelter Names'!$B$3:$E$153,4,FALSE))</f>
        <v/>
      </c>
      <c r="B580" s="170"/>
      <c r="C580" s="184"/>
      <c r="D580" s="184" t="str">
        <f t="shared" si="16"/>
        <v/>
      </c>
      <c r="E580" s="170" t="str">
        <f t="shared" si="17"/>
        <v/>
      </c>
      <c r="F580" s="170"/>
      <c r="G580" s="170"/>
      <c r="H580" s="170"/>
      <c r="I580" s="170"/>
      <c r="J580" s="170"/>
      <c r="K580" s="170"/>
      <c r="L580" s="170"/>
      <c r="M580" s="170"/>
      <c r="N580" s="170"/>
      <c r="O580" s="201"/>
    </row>
    <row r="581" spans="1:15" s="139" customFormat="1" ht="15.75">
      <c r="A581" s="205" t="str">
        <f>IF(ISNA(VLOOKUP(D581,'Standard Smelter Names'!$B$3:$E$153,4,FALSE)),"",VLOOKUP(D581,'Standard Smelter Names'!$B$3:$E$153,4,FALSE))</f>
        <v/>
      </c>
      <c r="B581" s="170"/>
      <c r="C581" s="184"/>
      <c r="D581" s="184" t="str">
        <f t="shared" ref="D581:D644" si="18">IF(ISNA(VLOOKUP(C581,$G$1023:$I$1309,3,FALSE)),"",VLOOKUP(C581,$G$1023:$I$1309,3,FALSE))</f>
        <v/>
      </c>
      <c r="E581" s="170" t="str">
        <f t="shared" ref="E581:E644" si="19">IF(ISNA(VLOOKUP(C581,$G$1023:$I$1309,2,FALSE)),"",VLOOKUP(C581,$G$1023:$I$1309,2,FALSE))</f>
        <v/>
      </c>
      <c r="F581" s="170"/>
      <c r="G581" s="170"/>
      <c r="H581" s="170"/>
      <c r="I581" s="170"/>
      <c r="J581" s="170"/>
      <c r="K581" s="170"/>
      <c r="L581" s="170"/>
      <c r="M581" s="170"/>
      <c r="N581" s="170"/>
      <c r="O581" s="201"/>
    </row>
    <row r="582" spans="1:15" s="139" customFormat="1" ht="15.75">
      <c r="A582" s="205" t="str">
        <f>IF(ISNA(VLOOKUP(D582,'Standard Smelter Names'!$B$3:$E$153,4,FALSE)),"",VLOOKUP(D582,'Standard Smelter Names'!$B$3:$E$153,4,FALSE))</f>
        <v/>
      </c>
      <c r="B582" s="170"/>
      <c r="C582" s="184"/>
      <c r="D582" s="184" t="str">
        <f t="shared" si="18"/>
        <v/>
      </c>
      <c r="E582" s="170" t="str">
        <f t="shared" si="19"/>
        <v/>
      </c>
      <c r="F582" s="170"/>
      <c r="G582" s="170"/>
      <c r="H582" s="170"/>
      <c r="I582" s="170"/>
      <c r="J582" s="170"/>
      <c r="K582" s="170"/>
      <c r="L582" s="170"/>
      <c r="M582" s="170"/>
      <c r="N582" s="170"/>
      <c r="O582" s="201"/>
    </row>
    <row r="583" spans="1:15" s="139" customFormat="1" ht="15.75">
      <c r="A583" s="205" t="str">
        <f>IF(ISNA(VLOOKUP(D583,'Standard Smelter Names'!$B$3:$E$153,4,FALSE)),"",VLOOKUP(D583,'Standard Smelter Names'!$B$3:$E$153,4,FALSE))</f>
        <v/>
      </c>
      <c r="B583" s="170"/>
      <c r="C583" s="184"/>
      <c r="D583" s="184" t="str">
        <f t="shared" si="18"/>
        <v/>
      </c>
      <c r="E583" s="170" t="str">
        <f t="shared" si="19"/>
        <v/>
      </c>
      <c r="F583" s="170"/>
      <c r="G583" s="170"/>
      <c r="H583" s="170"/>
      <c r="I583" s="170"/>
      <c r="J583" s="170"/>
      <c r="K583" s="170"/>
      <c r="L583" s="170"/>
      <c r="M583" s="170"/>
      <c r="N583" s="170"/>
      <c r="O583" s="201"/>
    </row>
    <row r="584" spans="1:15" s="139" customFormat="1" ht="15.75">
      <c r="A584" s="205" t="str">
        <f>IF(ISNA(VLOOKUP(D584,'Standard Smelter Names'!$B$3:$E$153,4,FALSE)),"",VLOOKUP(D584,'Standard Smelter Names'!$B$3:$E$153,4,FALSE))</f>
        <v/>
      </c>
      <c r="B584" s="170"/>
      <c r="C584" s="184"/>
      <c r="D584" s="184" t="str">
        <f t="shared" si="18"/>
        <v/>
      </c>
      <c r="E584" s="170" t="str">
        <f t="shared" si="19"/>
        <v/>
      </c>
      <c r="F584" s="170"/>
      <c r="G584" s="170"/>
      <c r="H584" s="170"/>
      <c r="I584" s="170"/>
      <c r="J584" s="170"/>
      <c r="K584" s="170"/>
      <c r="L584" s="170"/>
      <c r="M584" s="170"/>
      <c r="N584" s="170"/>
      <c r="O584" s="201"/>
    </row>
    <row r="585" spans="1:15" s="139" customFormat="1" ht="15.75">
      <c r="A585" s="205" t="str">
        <f>IF(ISNA(VLOOKUP(D585,'Standard Smelter Names'!$B$3:$E$153,4,FALSE)),"",VLOOKUP(D585,'Standard Smelter Names'!$B$3:$E$153,4,FALSE))</f>
        <v/>
      </c>
      <c r="B585" s="170"/>
      <c r="C585" s="184"/>
      <c r="D585" s="184" t="str">
        <f t="shared" si="18"/>
        <v/>
      </c>
      <c r="E585" s="170" t="str">
        <f t="shared" si="19"/>
        <v/>
      </c>
      <c r="F585" s="170"/>
      <c r="G585" s="170"/>
      <c r="H585" s="170"/>
      <c r="I585" s="170"/>
      <c r="J585" s="170"/>
      <c r="K585" s="170"/>
      <c r="L585" s="170"/>
      <c r="M585" s="170"/>
      <c r="N585" s="170"/>
      <c r="O585" s="201"/>
    </row>
    <row r="586" spans="1:15" s="139" customFormat="1" ht="15.75">
      <c r="A586" s="205" t="str">
        <f>IF(ISNA(VLOOKUP(D586,'Standard Smelter Names'!$B$3:$E$153,4,FALSE)),"",VLOOKUP(D586,'Standard Smelter Names'!$B$3:$E$153,4,FALSE))</f>
        <v/>
      </c>
      <c r="B586" s="170"/>
      <c r="C586" s="184"/>
      <c r="D586" s="184" t="str">
        <f t="shared" si="18"/>
        <v/>
      </c>
      <c r="E586" s="170" t="str">
        <f t="shared" si="19"/>
        <v/>
      </c>
      <c r="F586" s="170"/>
      <c r="G586" s="170"/>
      <c r="H586" s="170"/>
      <c r="I586" s="170"/>
      <c r="J586" s="170"/>
      <c r="K586" s="170"/>
      <c r="L586" s="170"/>
      <c r="M586" s="170"/>
      <c r="N586" s="170"/>
      <c r="O586" s="201"/>
    </row>
    <row r="587" spans="1:15" s="139" customFormat="1" ht="15.75">
      <c r="A587" s="205" t="str">
        <f>IF(ISNA(VLOOKUP(D587,'Standard Smelter Names'!$B$3:$E$153,4,FALSE)),"",VLOOKUP(D587,'Standard Smelter Names'!$B$3:$E$153,4,FALSE))</f>
        <v/>
      </c>
      <c r="B587" s="170"/>
      <c r="C587" s="184"/>
      <c r="D587" s="184" t="str">
        <f t="shared" si="18"/>
        <v/>
      </c>
      <c r="E587" s="170" t="str">
        <f t="shared" si="19"/>
        <v/>
      </c>
      <c r="F587" s="170"/>
      <c r="G587" s="170"/>
      <c r="H587" s="170"/>
      <c r="I587" s="170"/>
      <c r="J587" s="170"/>
      <c r="K587" s="170"/>
      <c r="L587" s="170"/>
      <c r="M587" s="170"/>
      <c r="N587" s="170"/>
      <c r="O587" s="201"/>
    </row>
    <row r="588" spans="1:15" s="139" customFormat="1" ht="15.75">
      <c r="A588" s="205" t="str">
        <f>IF(ISNA(VLOOKUP(D588,'Standard Smelter Names'!$B$3:$E$153,4,FALSE)),"",VLOOKUP(D588,'Standard Smelter Names'!$B$3:$E$153,4,FALSE))</f>
        <v/>
      </c>
      <c r="B588" s="170"/>
      <c r="C588" s="184"/>
      <c r="D588" s="184" t="str">
        <f t="shared" si="18"/>
        <v/>
      </c>
      <c r="E588" s="170" t="str">
        <f t="shared" si="19"/>
        <v/>
      </c>
      <c r="F588" s="170"/>
      <c r="G588" s="170"/>
      <c r="H588" s="170"/>
      <c r="I588" s="170"/>
      <c r="J588" s="170"/>
      <c r="K588" s="170"/>
      <c r="L588" s="170"/>
      <c r="M588" s="170"/>
      <c r="N588" s="170"/>
      <c r="O588" s="201"/>
    </row>
    <row r="589" spans="1:15" s="139" customFormat="1" ht="15.75">
      <c r="A589" s="205" t="str">
        <f>IF(ISNA(VLOOKUP(D589,'Standard Smelter Names'!$B$3:$E$153,4,FALSE)),"",VLOOKUP(D589,'Standard Smelter Names'!$B$3:$E$153,4,FALSE))</f>
        <v/>
      </c>
      <c r="B589" s="170"/>
      <c r="C589" s="184"/>
      <c r="D589" s="184" t="str">
        <f t="shared" si="18"/>
        <v/>
      </c>
      <c r="E589" s="170" t="str">
        <f t="shared" si="19"/>
        <v/>
      </c>
      <c r="F589" s="170"/>
      <c r="G589" s="170"/>
      <c r="H589" s="170"/>
      <c r="I589" s="170"/>
      <c r="J589" s="170"/>
      <c r="K589" s="170"/>
      <c r="L589" s="170"/>
      <c r="M589" s="170"/>
      <c r="N589" s="170"/>
      <c r="O589" s="201"/>
    </row>
    <row r="590" spans="1:15" s="139" customFormat="1" ht="15.75">
      <c r="A590" s="205" t="str">
        <f>IF(ISNA(VLOOKUP(D590,'Standard Smelter Names'!$B$3:$E$153,4,FALSE)),"",VLOOKUP(D590,'Standard Smelter Names'!$B$3:$E$153,4,FALSE))</f>
        <v/>
      </c>
      <c r="B590" s="170"/>
      <c r="C590" s="184"/>
      <c r="D590" s="184" t="str">
        <f t="shared" si="18"/>
        <v/>
      </c>
      <c r="E590" s="170" t="str">
        <f t="shared" si="19"/>
        <v/>
      </c>
      <c r="F590" s="170"/>
      <c r="G590" s="170"/>
      <c r="H590" s="170"/>
      <c r="I590" s="170"/>
      <c r="J590" s="170"/>
      <c r="K590" s="170"/>
      <c r="L590" s="170"/>
      <c r="M590" s="170"/>
      <c r="N590" s="170"/>
      <c r="O590" s="201"/>
    </row>
    <row r="591" spans="1:15" s="139" customFormat="1" ht="15.75">
      <c r="A591" s="205" t="str">
        <f>IF(ISNA(VLOOKUP(D591,'Standard Smelter Names'!$B$3:$E$153,4,FALSE)),"",VLOOKUP(D591,'Standard Smelter Names'!$B$3:$E$153,4,FALSE))</f>
        <v/>
      </c>
      <c r="B591" s="170"/>
      <c r="C591" s="184"/>
      <c r="D591" s="184" t="str">
        <f t="shared" si="18"/>
        <v/>
      </c>
      <c r="E591" s="170" t="str">
        <f t="shared" si="19"/>
        <v/>
      </c>
      <c r="F591" s="170"/>
      <c r="G591" s="170"/>
      <c r="H591" s="170"/>
      <c r="I591" s="170"/>
      <c r="J591" s="170"/>
      <c r="K591" s="170"/>
      <c r="L591" s="170"/>
      <c r="M591" s="170"/>
      <c r="N591" s="170"/>
      <c r="O591" s="201"/>
    </row>
    <row r="592" spans="1:15" s="139" customFormat="1" ht="15.75">
      <c r="A592" s="205" t="str">
        <f>IF(ISNA(VLOOKUP(D592,'Standard Smelter Names'!$B$3:$E$153,4,FALSE)),"",VLOOKUP(D592,'Standard Smelter Names'!$B$3:$E$153,4,FALSE))</f>
        <v/>
      </c>
      <c r="B592" s="170"/>
      <c r="C592" s="184"/>
      <c r="D592" s="184" t="str">
        <f t="shared" si="18"/>
        <v/>
      </c>
      <c r="E592" s="170" t="str">
        <f t="shared" si="19"/>
        <v/>
      </c>
      <c r="F592" s="170"/>
      <c r="G592" s="170"/>
      <c r="H592" s="170"/>
      <c r="I592" s="170"/>
      <c r="J592" s="170"/>
      <c r="K592" s="170"/>
      <c r="L592" s="170"/>
      <c r="M592" s="170"/>
      <c r="N592" s="170"/>
      <c r="O592" s="201"/>
    </row>
    <row r="593" spans="1:15" s="139" customFormat="1" ht="15.75">
      <c r="A593" s="205" t="str">
        <f>IF(ISNA(VLOOKUP(D593,'Standard Smelter Names'!$B$3:$E$153,4,FALSE)),"",VLOOKUP(D593,'Standard Smelter Names'!$B$3:$E$153,4,FALSE))</f>
        <v/>
      </c>
      <c r="B593" s="170"/>
      <c r="C593" s="184"/>
      <c r="D593" s="184" t="str">
        <f t="shared" si="18"/>
        <v/>
      </c>
      <c r="E593" s="170" t="str">
        <f t="shared" si="19"/>
        <v/>
      </c>
      <c r="F593" s="170"/>
      <c r="G593" s="170"/>
      <c r="H593" s="170"/>
      <c r="I593" s="170"/>
      <c r="J593" s="170"/>
      <c r="K593" s="170"/>
      <c r="L593" s="170"/>
      <c r="M593" s="170"/>
      <c r="N593" s="170"/>
      <c r="O593" s="201"/>
    </row>
    <row r="594" spans="1:15" s="139" customFormat="1" ht="15.75">
      <c r="A594" s="205" t="str">
        <f>IF(ISNA(VLOOKUP(D594,'Standard Smelter Names'!$B$3:$E$153,4,FALSE)),"",VLOOKUP(D594,'Standard Smelter Names'!$B$3:$E$153,4,FALSE))</f>
        <v/>
      </c>
      <c r="B594" s="170"/>
      <c r="C594" s="184"/>
      <c r="D594" s="184" t="str">
        <f t="shared" si="18"/>
        <v/>
      </c>
      <c r="E594" s="170" t="str">
        <f t="shared" si="19"/>
        <v/>
      </c>
      <c r="F594" s="170"/>
      <c r="G594" s="170"/>
      <c r="H594" s="170"/>
      <c r="I594" s="170"/>
      <c r="J594" s="170"/>
      <c r="K594" s="170"/>
      <c r="L594" s="170"/>
      <c r="M594" s="170"/>
      <c r="N594" s="170"/>
      <c r="O594" s="201"/>
    </row>
    <row r="595" spans="1:15" s="139" customFormat="1" ht="15.75">
      <c r="A595" s="205" t="str">
        <f>IF(ISNA(VLOOKUP(D595,'Standard Smelter Names'!$B$3:$E$153,4,FALSE)),"",VLOOKUP(D595,'Standard Smelter Names'!$B$3:$E$153,4,FALSE))</f>
        <v/>
      </c>
      <c r="B595" s="170"/>
      <c r="C595" s="184"/>
      <c r="D595" s="184" t="str">
        <f t="shared" si="18"/>
        <v/>
      </c>
      <c r="E595" s="170" t="str">
        <f t="shared" si="19"/>
        <v/>
      </c>
      <c r="F595" s="170"/>
      <c r="G595" s="170"/>
      <c r="H595" s="170"/>
      <c r="I595" s="170"/>
      <c r="J595" s="170"/>
      <c r="K595" s="170"/>
      <c r="L595" s="170"/>
      <c r="M595" s="170"/>
      <c r="N595" s="170"/>
      <c r="O595" s="201"/>
    </row>
    <row r="596" spans="1:15" s="139" customFormat="1" ht="15.75">
      <c r="A596" s="205" t="str">
        <f>IF(ISNA(VLOOKUP(D596,'Standard Smelter Names'!$B$3:$E$153,4,FALSE)),"",VLOOKUP(D596,'Standard Smelter Names'!$B$3:$E$153,4,FALSE))</f>
        <v/>
      </c>
      <c r="B596" s="170"/>
      <c r="C596" s="184"/>
      <c r="D596" s="184" t="str">
        <f t="shared" si="18"/>
        <v/>
      </c>
      <c r="E596" s="170" t="str">
        <f t="shared" si="19"/>
        <v/>
      </c>
      <c r="F596" s="170"/>
      <c r="G596" s="170"/>
      <c r="H596" s="170"/>
      <c r="I596" s="170"/>
      <c r="J596" s="170"/>
      <c r="K596" s="170"/>
      <c r="L596" s="170"/>
      <c r="M596" s="170"/>
      <c r="N596" s="170"/>
      <c r="O596" s="201"/>
    </row>
    <row r="597" spans="1:15" s="139" customFormat="1" ht="15.75">
      <c r="A597" s="205" t="str">
        <f>IF(ISNA(VLOOKUP(D597,'Standard Smelter Names'!$B$3:$E$153,4,FALSE)),"",VLOOKUP(D597,'Standard Smelter Names'!$B$3:$E$153,4,FALSE))</f>
        <v/>
      </c>
      <c r="B597" s="170"/>
      <c r="C597" s="184"/>
      <c r="D597" s="184" t="str">
        <f t="shared" si="18"/>
        <v/>
      </c>
      <c r="E597" s="170" t="str">
        <f t="shared" si="19"/>
        <v/>
      </c>
      <c r="F597" s="170"/>
      <c r="G597" s="170"/>
      <c r="H597" s="170"/>
      <c r="I597" s="170"/>
      <c r="J597" s="170"/>
      <c r="K597" s="170"/>
      <c r="L597" s="170"/>
      <c r="M597" s="170"/>
      <c r="N597" s="170"/>
      <c r="O597" s="201"/>
    </row>
    <row r="598" spans="1:15" s="139" customFormat="1" ht="15.75">
      <c r="A598" s="205" t="str">
        <f>IF(ISNA(VLOOKUP(D598,'Standard Smelter Names'!$B$3:$E$153,4,FALSE)),"",VLOOKUP(D598,'Standard Smelter Names'!$B$3:$E$153,4,FALSE))</f>
        <v/>
      </c>
      <c r="B598" s="170"/>
      <c r="C598" s="184"/>
      <c r="D598" s="184" t="str">
        <f t="shared" si="18"/>
        <v/>
      </c>
      <c r="E598" s="170" t="str">
        <f t="shared" si="19"/>
        <v/>
      </c>
      <c r="F598" s="170"/>
      <c r="G598" s="170"/>
      <c r="H598" s="170"/>
      <c r="I598" s="170"/>
      <c r="J598" s="170"/>
      <c r="K598" s="170"/>
      <c r="L598" s="170"/>
      <c r="M598" s="170"/>
      <c r="N598" s="170"/>
      <c r="O598" s="201"/>
    </row>
    <row r="599" spans="1:15" s="139" customFormat="1" ht="15.75">
      <c r="A599" s="205" t="str">
        <f>IF(ISNA(VLOOKUP(D599,'Standard Smelter Names'!$B$3:$E$153,4,FALSE)),"",VLOOKUP(D599,'Standard Smelter Names'!$B$3:$E$153,4,FALSE))</f>
        <v/>
      </c>
      <c r="B599" s="170"/>
      <c r="C599" s="184"/>
      <c r="D599" s="184" t="str">
        <f t="shared" si="18"/>
        <v/>
      </c>
      <c r="E599" s="170" t="str">
        <f t="shared" si="19"/>
        <v/>
      </c>
      <c r="F599" s="170"/>
      <c r="G599" s="170"/>
      <c r="H599" s="170"/>
      <c r="I599" s="170"/>
      <c r="J599" s="170"/>
      <c r="K599" s="170"/>
      <c r="L599" s="170"/>
      <c r="M599" s="170"/>
      <c r="N599" s="170"/>
      <c r="O599" s="201"/>
    </row>
    <row r="600" spans="1:15" s="139" customFormat="1" ht="15.75">
      <c r="A600" s="205" t="str">
        <f>IF(ISNA(VLOOKUP(D600,'Standard Smelter Names'!$B$3:$E$153,4,FALSE)),"",VLOOKUP(D600,'Standard Smelter Names'!$B$3:$E$153,4,FALSE))</f>
        <v/>
      </c>
      <c r="B600" s="170"/>
      <c r="C600" s="184"/>
      <c r="D600" s="184" t="str">
        <f t="shared" si="18"/>
        <v/>
      </c>
      <c r="E600" s="170" t="str">
        <f t="shared" si="19"/>
        <v/>
      </c>
      <c r="F600" s="170"/>
      <c r="G600" s="170"/>
      <c r="H600" s="170"/>
      <c r="I600" s="170"/>
      <c r="J600" s="170"/>
      <c r="K600" s="170"/>
      <c r="L600" s="170"/>
      <c r="M600" s="170"/>
      <c r="N600" s="170"/>
      <c r="O600" s="201"/>
    </row>
    <row r="601" spans="1:15" s="139" customFormat="1" ht="15.75">
      <c r="A601" s="205" t="str">
        <f>IF(ISNA(VLOOKUP(D601,'Standard Smelter Names'!$B$3:$E$153,4,FALSE)),"",VLOOKUP(D601,'Standard Smelter Names'!$B$3:$E$153,4,FALSE))</f>
        <v/>
      </c>
      <c r="B601" s="170"/>
      <c r="C601" s="184"/>
      <c r="D601" s="184" t="str">
        <f t="shared" si="18"/>
        <v/>
      </c>
      <c r="E601" s="170" t="str">
        <f t="shared" si="19"/>
        <v/>
      </c>
      <c r="F601" s="170"/>
      <c r="G601" s="170"/>
      <c r="H601" s="170"/>
      <c r="I601" s="170"/>
      <c r="J601" s="170"/>
      <c r="K601" s="170"/>
      <c r="L601" s="170"/>
      <c r="M601" s="170"/>
      <c r="N601" s="170"/>
      <c r="O601" s="201"/>
    </row>
    <row r="602" spans="1:15" s="139" customFormat="1" ht="15.75">
      <c r="A602" s="205" t="str">
        <f>IF(ISNA(VLOOKUP(D602,'Standard Smelter Names'!$B$3:$E$153,4,FALSE)),"",VLOOKUP(D602,'Standard Smelter Names'!$B$3:$E$153,4,FALSE))</f>
        <v/>
      </c>
      <c r="B602" s="170"/>
      <c r="C602" s="184"/>
      <c r="D602" s="184" t="str">
        <f t="shared" si="18"/>
        <v/>
      </c>
      <c r="E602" s="170" t="str">
        <f t="shared" si="19"/>
        <v/>
      </c>
      <c r="F602" s="170"/>
      <c r="G602" s="170"/>
      <c r="H602" s="170"/>
      <c r="I602" s="170"/>
      <c r="J602" s="170"/>
      <c r="K602" s="170"/>
      <c r="L602" s="170"/>
      <c r="M602" s="170"/>
      <c r="N602" s="170"/>
      <c r="O602" s="201"/>
    </row>
    <row r="603" spans="1:15" s="139" customFormat="1" ht="15.75">
      <c r="A603" s="205" t="str">
        <f>IF(ISNA(VLOOKUP(D603,'Standard Smelter Names'!$B$3:$E$153,4,FALSE)),"",VLOOKUP(D603,'Standard Smelter Names'!$B$3:$E$153,4,FALSE))</f>
        <v/>
      </c>
      <c r="B603" s="170"/>
      <c r="C603" s="184"/>
      <c r="D603" s="184" t="str">
        <f t="shared" si="18"/>
        <v/>
      </c>
      <c r="E603" s="170" t="str">
        <f t="shared" si="19"/>
        <v/>
      </c>
      <c r="F603" s="170"/>
      <c r="G603" s="170"/>
      <c r="H603" s="170"/>
      <c r="I603" s="170"/>
      <c r="J603" s="170"/>
      <c r="K603" s="170"/>
      <c r="L603" s="170"/>
      <c r="M603" s="170"/>
      <c r="N603" s="170"/>
      <c r="O603" s="201"/>
    </row>
    <row r="604" spans="1:15" s="139" customFormat="1" ht="15.75">
      <c r="A604" s="205" t="str">
        <f>IF(ISNA(VLOOKUP(D604,'Standard Smelter Names'!$B$3:$E$153,4,FALSE)),"",VLOOKUP(D604,'Standard Smelter Names'!$B$3:$E$153,4,FALSE))</f>
        <v/>
      </c>
      <c r="B604" s="170"/>
      <c r="C604" s="184"/>
      <c r="D604" s="184" t="str">
        <f t="shared" si="18"/>
        <v/>
      </c>
      <c r="E604" s="170" t="str">
        <f t="shared" si="19"/>
        <v/>
      </c>
      <c r="F604" s="170"/>
      <c r="G604" s="170"/>
      <c r="H604" s="170"/>
      <c r="I604" s="170"/>
      <c r="J604" s="170"/>
      <c r="K604" s="170"/>
      <c r="L604" s="170"/>
      <c r="M604" s="170"/>
      <c r="N604" s="170"/>
      <c r="O604" s="201"/>
    </row>
    <row r="605" spans="1:15" s="139" customFormat="1" ht="15.75">
      <c r="A605" s="205" t="str">
        <f>IF(ISNA(VLOOKUP(D605,'Standard Smelter Names'!$B$3:$E$153,4,FALSE)),"",VLOOKUP(D605,'Standard Smelter Names'!$B$3:$E$153,4,FALSE))</f>
        <v/>
      </c>
      <c r="B605" s="170"/>
      <c r="C605" s="184"/>
      <c r="D605" s="184" t="str">
        <f t="shared" si="18"/>
        <v/>
      </c>
      <c r="E605" s="170" t="str">
        <f t="shared" si="19"/>
        <v/>
      </c>
      <c r="F605" s="170"/>
      <c r="G605" s="170"/>
      <c r="H605" s="170"/>
      <c r="I605" s="170"/>
      <c r="J605" s="170"/>
      <c r="K605" s="170"/>
      <c r="L605" s="170"/>
      <c r="M605" s="170"/>
      <c r="N605" s="170"/>
      <c r="O605" s="201"/>
    </row>
    <row r="606" spans="1:15" s="139" customFormat="1" ht="15.75">
      <c r="A606" s="205" t="str">
        <f>IF(ISNA(VLOOKUP(D606,'Standard Smelter Names'!$B$3:$E$153,4,FALSE)),"",VLOOKUP(D606,'Standard Smelter Names'!$B$3:$E$153,4,FALSE))</f>
        <v/>
      </c>
      <c r="B606" s="170"/>
      <c r="C606" s="184"/>
      <c r="D606" s="184" t="str">
        <f t="shared" si="18"/>
        <v/>
      </c>
      <c r="E606" s="170" t="str">
        <f t="shared" si="19"/>
        <v/>
      </c>
      <c r="F606" s="170"/>
      <c r="G606" s="170"/>
      <c r="H606" s="170"/>
      <c r="I606" s="170"/>
      <c r="J606" s="170"/>
      <c r="K606" s="170"/>
      <c r="L606" s="170"/>
      <c r="M606" s="170"/>
      <c r="N606" s="170"/>
      <c r="O606" s="201"/>
    </row>
    <row r="607" spans="1:15" s="139" customFormat="1" ht="15.75">
      <c r="A607" s="205" t="str">
        <f>IF(ISNA(VLOOKUP(D607,'Standard Smelter Names'!$B$3:$E$153,4,FALSE)),"",VLOOKUP(D607,'Standard Smelter Names'!$B$3:$E$153,4,FALSE))</f>
        <v/>
      </c>
      <c r="B607" s="170"/>
      <c r="C607" s="184"/>
      <c r="D607" s="184" t="str">
        <f t="shared" si="18"/>
        <v/>
      </c>
      <c r="E607" s="170" t="str">
        <f t="shared" si="19"/>
        <v/>
      </c>
      <c r="F607" s="170"/>
      <c r="G607" s="170"/>
      <c r="H607" s="170"/>
      <c r="I607" s="170"/>
      <c r="J607" s="170"/>
      <c r="K607" s="170"/>
      <c r="L607" s="170"/>
      <c r="M607" s="170"/>
      <c r="N607" s="170"/>
      <c r="O607" s="201"/>
    </row>
    <row r="608" spans="1:15" s="139" customFormat="1" ht="15.75">
      <c r="A608" s="205" t="str">
        <f>IF(ISNA(VLOOKUP(D608,'Standard Smelter Names'!$B$3:$E$153,4,FALSE)),"",VLOOKUP(D608,'Standard Smelter Names'!$B$3:$E$153,4,FALSE))</f>
        <v/>
      </c>
      <c r="B608" s="170"/>
      <c r="C608" s="184"/>
      <c r="D608" s="184" t="str">
        <f t="shared" si="18"/>
        <v/>
      </c>
      <c r="E608" s="170" t="str">
        <f t="shared" si="19"/>
        <v/>
      </c>
      <c r="F608" s="170"/>
      <c r="G608" s="170"/>
      <c r="H608" s="170"/>
      <c r="I608" s="170"/>
      <c r="J608" s="170"/>
      <c r="K608" s="170"/>
      <c r="L608" s="170"/>
      <c r="M608" s="170"/>
      <c r="N608" s="170"/>
      <c r="O608" s="201"/>
    </row>
    <row r="609" spans="1:15" s="139" customFormat="1" ht="15.75">
      <c r="A609" s="205" t="str">
        <f>IF(ISNA(VLOOKUP(D609,'Standard Smelter Names'!$B$3:$E$153,4,FALSE)),"",VLOOKUP(D609,'Standard Smelter Names'!$B$3:$E$153,4,FALSE))</f>
        <v/>
      </c>
      <c r="B609" s="170"/>
      <c r="C609" s="184"/>
      <c r="D609" s="184" t="str">
        <f t="shared" si="18"/>
        <v/>
      </c>
      <c r="E609" s="170" t="str">
        <f t="shared" si="19"/>
        <v/>
      </c>
      <c r="F609" s="170"/>
      <c r="G609" s="170"/>
      <c r="H609" s="170"/>
      <c r="I609" s="170"/>
      <c r="J609" s="170"/>
      <c r="K609" s="170"/>
      <c r="L609" s="170"/>
      <c r="M609" s="170"/>
      <c r="N609" s="170"/>
      <c r="O609" s="201"/>
    </row>
    <row r="610" spans="1:15" s="139" customFormat="1" ht="15.75">
      <c r="A610" s="205" t="str">
        <f>IF(ISNA(VLOOKUP(D610,'Standard Smelter Names'!$B$3:$E$153,4,FALSE)),"",VLOOKUP(D610,'Standard Smelter Names'!$B$3:$E$153,4,FALSE))</f>
        <v/>
      </c>
      <c r="B610" s="170"/>
      <c r="C610" s="184"/>
      <c r="D610" s="184" t="str">
        <f t="shared" si="18"/>
        <v/>
      </c>
      <c r="E610" s="170" t="str">
        <f t="shared" si="19"/>
        <v/>
      </c>
      <c r="F610" s="170"/>
      <c r="G610" s="170"/>
      <c r="H610" s="170"/>
      <c r="I610" s="170"/>
      <c r="J610" s="170"/>
      <c r="K610" s="170"/>
      <c r="L610" s="170"/>
      <c r="M610" s="170"/>
      <c r="N610" s="170"/>
      <c r="O610" s="201"/>
    </row>
    <row r="611" spans="1:15" s="139" customFormat="1" ht="15.75">
      <c r="A611" s="205" t="str">
        <f>IF(ISNA(VLOOKUP(D611,'Standard Smelter Names'!$B$3:$E$153,4,FALSE)),"",VLOOKUP(D611,'Standard Smelter Names'!$B$3:$E$153,4,FALSE))</f>
        <v/>
      </c>
      <c r="B611" s="170"/>
      <c r="C611" s="184"/>
      <c r="D611" s="184" t="str">
        <f t="shared" si="18"/>
        <v/>
      </c>
      <c r="E611" s="170" t="str">
        <f t="shared" si="19"/>
        <v/>
      </c>
      <c r="F611" s="170"/>
      <c r="G611" s="170"/>
      <c r="H611" s="170"/>
      <c r="I611" s="170"/>
      <c r="J611" s="170"/>
      <c r="K611" s="170"/>
      <c r="L611" s="170"/>
      <c r="M611" s="170"/>
      <c r="N611" s="170"/>
      <c r="O611" s="201"/>
    </row>
    <row r="612" spans="1:15" s="139" customFormat="1" ht="15.75">
      <c r="A612" s="205" t="str">
        <f>IF(ISNA(VLOOKUP(D612,'Standard Smelter Names'!$B$3:$E$153,4,FALSE)),"",VLOOKUP(D612,'Standard Smelter Names'!$B$3:$E$153,4,FALSE))</f>
        <v/>
      </c>
      <c r="B612" s="170"/>
      <c r="C612" s="184"/>
      <c r="D612" s="184" t="str">
        <f t="shared" si="18"/>
        <v/>
      </c>
      <c r="E612" s="170" t="str">
        <f t="shared" si="19"/>
        <v/>
      </c>
      <c r="F612" s="170"/>
      <c r="G612" s="170"/>
      <c r="H612" s="170"/>
      <c r="I612" s="170"/>
      <c r="J612" s="170"/>
      <c r="K612" s="170"/>
      <c r="L612" s="170"/>
      <c r="M612" s="170"/>
      <c r="N612" s="170"/>
      <c r="O612" s="201"/>
    </row>
    <row r="613" spans="1:15" s="139" customFormat="1" ht="15.75">
      <c r="A613" s="205" t="str">
        <f>IF(ISNA(VLOOKUP(D613,'Standard Smelter Names'!$B$3:$E$153,4,FALSE)),"",VLOOKUP(D613,'Standard Smelter Names'!$B$3:$E$153,4,FALSE))</f>
        <v/>
      </c>
      <c r="B613" s="170"/>
      <c r="C613" s="184"/>
      <c r="D613" s="184" t="str">
        <f t="shared" si="18"/>
        <v/>
      </c>
      <c r="E613" s="170" t="str">
        <f t="shared" si="19"/>
        <v/>
      </c>
      <c r="F613" s="170"/>
      <c r="G613" s="170"/>
      <c r="H613" s="170"/>
      <c r="I613" s="170"/>
      <c r="J613" s="170"/>
      <c r="K613" s="170"/>
      <c r="L613" s="170"/>
      <c r="M613" s="170"/>
      <c r="N613" s="170"/>
      <c r="O613" s="201"/>
    </row>
    <row r="614" spans="1:15" s="139" customFormat="1" ht="15.75">
      <c r="A614" s="205" t="str">
        <f>IF(ISNA(VLOOKUP(D614,'Standard Smelter Names'!$B$3:$E$153,4,FALSE)),"",VLOOKUP(D614,'Standard Smelter Names'!$B$3:$E$153,4,FALSE))</f>
        <v/>
      </c>
      <c r="B614" s="170"/>
      <c r="C614" s="184"/>
      <c r="D614" s="184" t="str">
        <f t="shared" si="18"/>
        <v/>
      </c>
      <c r="E614" s="170" t="str">
        <f t="shared" si="19"/>
        <v/>
      </c>
      <c r="F614" s="170"/>
      <c r="G614" s="170"/>
      <c r="H614" s="170"/>
      <c r="I614" s="170"/>
      <c r="J614" s="170"/>
      <c r="K614" s="170"/>
      <c r="L614" s="170"/>
      <c r="M614" s="170"/>
      <c r="N614" s="170"/>
      <c r="O614" s="201"/>
    </row>
    <row r="615" spans="1:15" s="139" customFormat="1" ht="15.75">
      <c r="A615" s="205" t="str">
        <f>IF(ISNA(VLOOKUP(D615,'Standard Smelter Names'!$B$3:$E$153,4,FALSE)),"",VLOOKUP(D615,'Standard Smelter Names'!$B$3:$E$153,4,FALSE))</f>
        <v/>
      </c>
      <c r="B615" s="170"/>
      <c r="C615" s="184"/>
      <c r="D615" s="184" t="str">
        <f t="shared" si="18"/>
        <v/>
      </c>
      <c r="E615" s="170" t="str">
        <f t="shared" si="19"/>
        <v/>
      </c>
      <c r="F615" s="170"/>
      <c r="G615" s="170"/>
      <c r="H615" s="170"/>
      <c r="I615" s="170"/>
      <c r="J615" s="170"/>
      <c r="K615" s="170"/>
      <c r="L615" s="170"/>
      <c r="M615" s="170"/>
      <c r="N615" s="170"/>
      <c r="O615" s="201"/>
    </row>
    <row r="616" spans="1:15" s="139" customFormat="1" ht="15.75">
      <c r="A616" s="205" t="str">
        <f>IF(ISNA(VLOOKUP(D616,'Standard Smelter Names'!$B$3:$E$153,4,FALSE)),"",VLOOKUP(D616,'Standard Smelter Names'!$B$3:$E$153,4,FALSE))</f>
        <v/>
      </c>
      <c r="B616" s="170"/>
      <c r="C616" s="184"/>
      <c r="D616" s="184" t="str">
        <f t="shared" si="18"/>
        <v/>
      </c>
      <c r="E616" s="170" t="str">
        <f t="shared" si="19"/>
        <v/>
      </c>
      <c r="F616" s="170"/>
      <c r="G616" s="170"/>
      <c r="H616" s="170"/>
      <c r="I616" s="170"/>
      <c r="J616" s="170"/>
      <c r="K616" s="170"/>
      <c r="L616" s="170"/>
      <c r="M616" s="170"/>
      <c r="N616" s="170"/>
      <c r="O616" s="201"/>
    </row>
    <row r="617" spans="1:15" s="139" customFormat="1" ht="15.75">
      <c r="A617" s="205" t="str">
        <f>IF(ISNA(VLOOKUP(D617,'Standard Smelter Names'!$B$3:$E$153,4,FALSE)),"",VLOOKUP(D617,'Standard Smelter Names'!$B$3:$E$153,4,FALSE))</f>
        <v/>
      </c>
      <c r="B617" s="170"/>
      <c r="C617" s="184"/>
      <c r="D617" s="184" t="str">
        <f t="shared" si="18"/>
        <v/>
      </c>
      <c r="E617" s="170" t="str">
        <f t="shared" si="19"/>
        <v/>
      </c>
      <c r="F617" s="170"/>
      <c r="G617" s="170"/>
      <c r="H617" s="170"/>
      <c r="I617" s="170"/>
      <c r="J617" s="170"/>
      <c r="K617" s="170"/>
      <c r="L617" s="170"/>
      <c r="M617" s="170"/>
      <c r="N617" s="170"/>
      <c r="O617" s="201"/>
    </row>
    <row r="618" spans="1:15" s="139" customFormat="1" ht="15.75">
      <c r="A618" s="205" t="str">
        <f>IF(ISNA(VLOOKUP(D618,'Standard Smelter Names'!$B$3:$E$153,4,FALSE)),"",VLOOKUP(D618,'Standard Smelter Names'!$B$3:$E$153,4,FALSE))</f>
        <v/>
      </c>
      <c r="B618" s="170"/>
      <c r="C618" s="184"/>
      <c r="D618" s="184" t="str">
        <f t="shared" si="18"/>
        <v/>
      </c>
      <c r="E618" s="170" t="str">
        <f t="shared" si="19"/>
        <v/>
      </c>
      <c r="F618" s="170"/>
      <c r="G618" s="170"/>
      <c r="H618" s="170"/>
      <c r="I618" s="170"/>
      <c r="J618" s="170"/>
      <c r="K618" s="170"/>
      <c r="L618" s="170"/>
      <c r="M618" s="170"/>
      <c r="N618" s="170"/>
      <c r="O618" s="201"/>
    </row>
    <row r="619" spans="1:15" s="139" customFormat="1" ht="15.75">
      <c r="A619" s="205" t="str">
        <f>IF(ISNA(VLOOKUP(D619,'Standard Smelter Names'!$B$3:$E$153,4,FALSE)),"",VLOOKUP(D619,'Standard Smelter Names'!$B$3:$E$153,4,FALSE))</f>
        <v/>
      </c>
      <c r="B619" s="170"/>
      <c r="C619" s="184"/>
      <c r="D619" s="184" t="str">
        <f t="shared" si="18"/>
        <v/>
      </c>
      <c r="E619" s="170" t="str">
        <f t="shared" si="19"/>
        <v/>
      </c>
      <c r="F619" s="170"/>
      <c r="G619" s="170"/>
      <c r="H619" s="170"/>
      <c r="I619" s="170"/>
      <c r="J619" s="170"/>
      <c r="K619" s="170"/>
      <c r="L619" s="170"/>
      <c r="M619" s="170"/>
      <c r="N619" s="170"/>
      <c r="O619" s="201"/>
    </row>
    <row r="620" spans="1:15" s="139" customFormat="1" ht="15.75">
      <c r="A620" s="205" t="str">
        <f>IF(ISNA(VLOOKUP(D620,'Standard Smelter Names'!$B$3:$E$153,4,FALSE)),"",VLOOKUP(D620,'Standard Smelter Names'!$B$3:$E$153,4,FALSE))</f>
        <v/>
      </c>
      <c r="B620" s="170"/>
      <c r="C620" s="184"/>
      <c r="D620" s="184" t="str">
        <f t="shared" si="18"/>
        <v/>
      </c>
      <c r="E620" s="170" t="str">
        <f t="shared" si="19"/>
        <v/>
      </c>
      <c r="F620" s="170"/>
      <c r="G620" s="170"/>
      <c r="H620" s="170"/>
      <c r="I620" s="170"/>
      <c r="J620" s="170"/>
      <c r="K620" s="170"/>
      <c r="L620" s="170"/>
      <c r="M620" s="170"/>
      <c r="N620" s="170"/>
      <c r="O620" s="201"/>
    </row>
    <row r="621" spans="1:15" s="139" customFormat="1" ht="15.75">
      <c r="A621" s="205" t="str">
        <f>IF(ISNA(VLOOKUP(D621,'Standard Smelter Names'!$B$3:$E$153,4,FALSE)),"",VLOOKUP(D621,'Standard Smelter Names'!$B$3:$E$153,4,FALSE))</f>
        <v/>
      </c>
      <c r="B621" s="170"/>
      <c r="C621" s="184"/>
      <c r="D621" s="184" t="str">
        <f t="shared" si="18"/>
        <v/>
      </c>
      <c r="E621" s="170" t="str">
        <f t="shared" si="19"/>
        <v/>
      </c>
      <c r="F621" s="170"/>
      <c r="G621" s="170"/>
      <c r="H621" s="170"/>
      <c r="I621" s="170"/>
      <c r="J621" s="170"/>
      <c r="K621" s="170"/>
      <c r="L621" s="170"/>
      <c r="M621" s="170"/>
      <c r="N621" s="170"/>
      <c r="O621" s="201"/>
    </row>
    <row r="622" spans="1:15" s="139" customFormat="1" ht="15.75">
      <c r="A622" s="205" t="str">
        <f>IF(ISNA(VLOOKUP(D622,'Standard Smelter Names'!$B$3:$E$153,4,FALSE)),"",VLOOKUP(D622,'Standard Smelter Names'!$B$3:$E$153,4,FALSE))</f>
        <v/>
      </c>
      <c r="B622" s="170"/>
      <c r="C622" s="184"/>
      <c r="D622" s="184" t="str">
        <f t="shared" si="18"/>
        <v/>
      </c>
      <c r="E622" s="170" t="str">
        <f t="shared" si="19"/>
        <v/>
      </c>
      <c r="F622" s="170"/>
      <c r="G622" s="170"/>
      <c r="H622" s="170"/>
      <c r="I622" s="170"/>
      <c r="J622" s="170"/>
      <c r="K622" s="170"/>
      <c r="L622" s="170"/>
      <c r="M622" s="170"/>
      <c r="N622" s="170"/>
      <c r="O622" s="201"/>
    </row>
    <row r="623" spans="1:15" s="139" customFormat="1" ht="15.75">
      <c r="A623" s="205" t="str">
        <f>IF(ISNA(VLOOKUP(D623,'Standard Smelter Names'!$B$3:$E$153,4,FALSE)),"",VLOOKUP(D623,'Standard Smelter Names'!$B$3:$E$153,4,FALSE))</f>
        <v/>
      </c>
      <c r="B623" s="170"/>
      <c r="C623" s="184"/>
      <c r="D623" s="184" t="str">
        <f t="shared" si="18"/>
        <v/>
      </c>
      <c r="E623" s="170" t="str">
        <f t="shared" si="19"/>
        <v/>
      </c>
      <c r="F623" s="170"/>
      <c r="G623" s="170"/>
      <c r="H623" s="170"/>
      <c r="I623" s="170"/>
      <c r="J623" s="170"/>
      <c r="K623" s="170"/>
      <c r="L623" s="170"/>
      <c r="M623" s="170"/>
      <c r="N623" s="170"/>
      <c r="O623" s="201"/>
    </row>
    <row r="624" spans="1:15" s="139" customFormat="1" ht="15.75">
      <c r="A624" s="205" t="str">
        <f>IF(ISNA(VLOOKUP(D624,'Standard Smelter Names'!$B$3:$E$153,4,FALSE)),"",VLOOKUP(D624,'Standard Smelter Names'!$B$3:$E$153,4,FALSE))</f>
        <v/>
      </c>
      <c r="B624" s="170"/>
      <c r="C624" s="184"/>
      <c r="D624" s="184" t="str">
        <f t="shared" si="18"/>
        <v/>
      </c>
      <c r="E624" s="170" t="str">
        <f t="shared" si="19"/>
        <v/>
      </c>
      <c r="F624" s="170"/>
      <c r="G624" s="170"/>
      <c r="H624" s="170"/>
      <c r="I624" s="170"/>
      <c r="J624" s="170"/>
      <c r="K624" s="170"/>
      <c r="L624" s="170"/>
      <c r="M624" s="170"/>
      <c r="N624" s="170"/>
      <c r="O624" s="201"/>
    </row>
    <row r="625" spans="1:15" s="139" customFormat="1" ht="15.75">
      <c r="A625" s="205" t="str">
        <f>IF(ISNA(VLOOKUP(D625,'Standard Smelter Names'!$B$3:$E$153,4,FALSE)),"",VLOOKUP(D625,'Standard Smelter Names'!$B$3:$E$153,4,FALSE))</f>
        <v/>
      </c>
      <c r="B625" s="170"/>
      <c r="C625" s="184"/>
      <c r="D625" s="184" t="str">
        <f t="shared" si="18"/>
        <v/>
      </c>
      <c r="E625" s="170" t="str">
        <f t="shared" si="19"/>
        <v/>
      </c>
      <c r="F625" s="170"/>
      <c r="G625" s="170"/>
      <c r="H625" s="170"/>
      <c r="I625" s="170"/>
      <c r="J625" s="170"/>
      <c r="K625" s="170"/>
      <c r="L625" s="170"/>
      <c r="M625" s="170"/>
      <c r="N625" s="170"/>
      <c r="O625" s="201"/>
    </row>
    <row r="626" spans="1:15" s="139" customFormat="1" ht="15.75">
      <c r="A626" s="205" t="str">
        <f>IF(ISNA(VLOOKUP(D626,'Standard Smelter Names'!$B$3:$E$153,4,FALSE)),"",VLOOKUP(D626,'Standard Smelter Names'!$B$3:$E$153,4,FALSE))</f>
        <v/>
      </c>
      <c r="B626" s="170"/>
      <c r="C626" s="184"/>
      <c r="D626" s="184" t="str">
        <f t="shared" si="18"/>
        <v/>
      </c>
      <c r="E626" s="170" t="str">
        <f t="shared" si="19"/>
        <v/>
      </c>
      <c r="F626" s="170"/>
      <c r="G626" s="170"/>
      <c r="H626" s="170"/>
      <c r="I626" s="170"/>
      <c r="J626" s="170"/>
      <c r="K626" s="170"/>
      <c r="L626" s="170"/>
      <c r="M626" s="170"/>
      <c r="N626" s="170"/>
      <c r="O626" s="201"/>
    </row>
    <row r="627" spans="1:15" s="139" customFormat="1" ht="15.75">
      <c r="A627" s="205" t="str">
        <f>IF(ISNA(VLOOKUP(D627,'Standard Smelter Names'!$B$3:$E$153,4,FALSE)),"",VLOOKUP(D627,'Standard Smelter Names'!$B$3:$E$153,4,FALSE))</f>
        <v/>
      </c>
      <c r="B627" s="170"/>
      <c r="C627" s="184"/>
      <c r="D627" s="184" t="str">
        <f t="shared" si="18"/>
        <v/>
      </c>
      <c r="E627" s="170" t="str">
        <f t="shared" si="19"/>
        <v/>
      </c>
      <c r="F627" s="170"/>
      <c r="G627" s="170"/>
      <c r="H627" s="170"/>
      <c r="I627" s="170"/>
      <c r="J627" s="170"/>
      <c r="K627" s="170"/>
      <c r="L627" s="170"/>
      <c r="M627" s="170"/>
      <c r="N627" s="170"/>
      <c r="O627" s="201"/>
    </row>
    <row r="628" spans="1:15" s="139" customFormat="1" ht="15.75">
      <c r="A628" s="205" t="str">
        <f>IF(ISNA(VLOOKUP(D628,'Standard Smelter Names'!$B$3:$E$153,4,FALSE)),"",VLOOKUP(D628,'Standard Smelter Names'!$B$3:$E$153,4,FALSE))</f>
        <v/>
      </c>
      <c r="B628" s="170"/>
      <c r="C628" s="184"/>
      <c r="D628" s="184" t="str">
        <f t="shared" si="18"/>
        <v/>
      </c>
      <c r="E628" s="170" t="str">
        <f t="shared" si="19"/>
        <v/>
      </c>
      <c r="F628" s="170"/>
      <c r="G628" s="170"/>
      <c r="H628" s="170"/>
      <c r="I628" s="170"/>
      <c r="J628" s="170"/>
      <c r="K628" s="170"/>
      <c r="L628" s="170"/>
      <c r="M628" s="170"/>
      <c r="N628" s="170"/>
      <c r="O628" s="201"/>
    </row>
    <row r="629" spans="1:15" s="139" customFormat="1" ht="15.75">
      <c r="A629" s="205" t="str">
        <f>IF(ISNA(VLOOKUP(D629,'Standard Smelter Names'!$B$3:$E$153,4,FALSE)),"",VLOOKUP(D629,'Standard Smelter Names'!$B$3:$E$153,4,FALSE))</f>
        <v/>
      </c>
      <c r="B629" s="170"/>
      <c r="C629" s="184"/>
      <c r="D629" s="184" t="str">
        <f t="shared" si="18"/>
        <v/>
      </c>
      <c r="E629" s="170" t="str">
        <f t="shared" si="19"/>
        <v/>
      </c>
      <c r="F629" s="170"/>
      <c r="G629" s="170"/>
      <c r="H629" s="170"/>
      <c r="I629" s="170"/>
      <c r="J629" s="170"/>
      <c r="K629" s="170"/>
      <c r="L629" s="170"/>
      <c r="M629" s="170"/>
      <c r="N629" s="170"/>
      <c r="O629" s="201"/>
    </row>
    <row r="630" spans="1:15" s="139" customFormat="1" ht="15.75">
      <c r="A630" s="205" t="str">
        <f>IF(ISNA(VLOOKUP(D630,'Standard Smelter Names'!$B$3:$E$153,4,FALSE)),"",VLOOKUP(D630,'Standard Smelter Names'!$B$3:$E$153,4,FALSE))</f>
        <v/>
      </c>
      <c r="B630" s="170"/>
      <c r="C630" s="184"/>
      <c r="D630" s="184" t="str">
        <f t="shared" si="18"/>
        <v/>
      </c>
      <c r="E630" s="170" t="str">
        <f t="shared" si="19"/>
        <v/>
      </c>
      <c r="F630" s="170"/>
      <c r="G630" s="170"/>
      <c r="H630" s="170"/>
      <c r="I630" s="170"/>
      <c r="J630" s="170"/>
      <c r="K630" s="170"/>
      <c r="L630" s="170"/>
      <c r="M630" s="170"/>
      <c r="N630" s="170"/>
      <c r="O630" s="201"/>
    </row>
    <row r="631" spans="1:15" s="139" customFormat="1" ht="15.75">
      <c r="A631" s="205" t="str">
        <f>IF(ISNA(VLOOKUP(D631,'Standard Smelter Names'!$B$3:$E$153,4,FALSE)),"",VLOOKUP(D631,'Standard Smelter Names'!$B$3:$E$153,4,FALSE))</f>
        <v/>
      </c>
      <c r="B631" s="170"/>
      <c r="C631" s="184"/>
      <c r="D631" s="184" t="str">
        <f t="shared" si="18"/>
        <v/>
      </c>
      <c r="E631" s="170" t="str">
        <f t="shared" si="19"/>
        <v/>
      </c>
      <c r="F631" s="170"/>
      <c r="G631" s="170"/>
      <c r="H631" s="170"/>
      <c r="I631" s="170"/>
      <c r="J631" s="170"/>
      <c r="K631" s="170"/>
      <c r="L631" s="170"/>
      <c r="M631" s="170"/>
      <c r="N631" s="170"/>
      <c r="O631" s="201"/>
    </row>
    <row r="632" spans="1:15" s="139" customFormat="1" ht="15.75">
      <c r="A632" s="205" t="str">
        <f>IF(ISNA(VLOOKUP(D632,'Standard Smelter Names'!$B$3:$E$153,4,FALSE)),"",VLOOKUP(D632,'Standard Smelter Names'!$B$3:$E$153,4,FALSE))</f>
        <v/>
      </c>
      <c r="B632" s="170"/>
      <c r="C632" s="184"/>
      <c r="D632" s="184" t="str">
        <f t="shared" si="18"/>
        <v/>
      </c>
      <c r="E632" s="170" t="str">
        <f t="shared" si="19"/>
        <v/>
      </c>
      <c r="F632" s="170"/>
      <c r="G632" s="170"/>
      <c r="H632" s="170"/>
      <c r="I632" s="170"/>
      <c r="J632" s="170"/>
      <c r="K632" s="170"/>
      <c r="L632" s="170"/>
      <c r="M632" s="170"/>
      <c r="N632" s="170"/>
      <c r="O632" s="201"/>
    </row>
    <row r="633" spans="1:15" s="139" customFormat="1" ht="15.75">
      <c r="A633" s="205" t="str">
        <f>IF(ISNA(VLOOKUP(D633,'Standard Smelter Names'!$B$3:$E$153,4,FALSE)),"",VLOOKUP(D633,'Standard Smelter Names'!$B$3:$E$153,4,FALSE))</f>
        <v/>
      </c>
      <c r="B633" s="170"/>
      <c r="C633" s="184"/>
      <c r="D633" s="184" t="str">
        <f t="shared" si="18"/>
        <v/>
      </c>
      <c r="E633" s="170" t="str">
        <f t="shared" si="19"/>
        <v/>
      </c>
      <c r="F633" s="170"/>
      <c r="G633" s="170"/>
      <c r="H633" s="170"/>
      <c r="I633" s="170"/>
      <c r="J633" s="170"/>
      <c r="K633" s="170"/>
      <c r="L633" s="170"/>
      <c r="M633" s="170"/>
      <c r="N633" s="170"/>
      <c r="O633" s="201"/>
    </row>
    <row r="634" spans="1:15" s="139" customFormat="1" ht="15.75">
      <c r="A634" s="205" t="str">
        <f>IF(ISNA(VLOOKUP(D634,'Standard Smelter Names'!$B$3:$E$153,4,FALSE)),"",VLOOKUP(D634,'Standard Smelter Names'!$B$3:$E$153,4,FALSE))</f>
        <v/>
      </c>
      <c r="B634" s="170"/>
      <c r="C634" s="184"/>
      <c r="D634" s="184" t="str">
        <f t="shared" si="18"/>
        <v/>
      </c>
      <c r="E634" s="170" t="str">
        <f t="shared" si="19"/>
        <v/>
      </c>
      <c r="F634" s="170"/>
      <c r="G634" s="170"/>
      <c r="H634" s="170"/>
      <c r="I634" s="170"/>
      <c r="J634" s="170"/>
      <c r="K634" s="170"/>
      <c r="L634" s="170"/>
      <c r="M634" s="170"/>
      <c r="N634" s="170"/>
      <c r="O634" s="201"/>
    </row>
    <row r="635" spans="1:15" s="139" customFormat="1" ht="15.75">
      <c r="A635" s="205" t="str">
        <f>IF(ISNA(VLOOKUP(D635,'Standard Smelter Names'!$B$3:$E$153,4,FALSE)),"",VLOOKUP(D635,'Standard Smelter Names'!$B$3:$E$153,4,FALSE))</f>
        <v/>
      </c>
      <c r="B635" s="170"/>
      <c r="C635" s="184"/>
      <c r="D635" s="184" t="str">
        <f t="shared" si="18"/>
        <v/>
      </c>
      <c r="E635" s="170" t="str">
        <f t="shared" si="19"/>
        <v/>
      </c>
      <c r="F635" s="170"/>
      <c r="G635" s="170"/>
      <c r="H635" s="170"/>
      <c r="I635" s="170"/>
      <c r="J635" s="170"/>
      <c r="K635" s="170"/>
      <c r="L635" s="170"/>
      <c r="M635" s="170"/>
      <c r="N635" s="170"/>
      <c r="O635" s="201"/>
    </row>
    <row r="636" spans="1:15" s="139" customFormat="1" ht="15.75">
      <c r="A636" s="205" t="str">
        <f>IF(ISNA(VLOOKUP(D636,'Standard Smelter Names'!$B$3:$E$153,4,FALSE)),"",VLOOKUP(D636,'Standard Smelter Names'!$B$3:$E$153,4,FALSE))</f>
        <v/>
      </c>
      <c r="B636" s="170"/>
      <c r="C636" s="184"/>
      <c r="D636" s="184" t="str">
        <f t="shared" si="18"/>
        <v/>
      </c>
      <c r="E636" s="170" t="str">
        <f t="shared" si="19"/>
        <v/>
      </c>
      <c r="F636" s="170"/>
      <c r="G636" s="170"/>
      <c r="H636" s="170"/>
      <c r="I636" s="170"/>
      <c r="J636" s="170"/>
      <c r="K636" s="170"/>
      <c r="L636" s="170"/>
      <c r="M636" s="170"/>
      <c r="N636" s="170"/>
      <c r="O636" s="201"/>
    </row>
    <row r="637" spans="1:15" s="139" customFormat="1" ht="15.75">
      <c r="A637" s="205" t="str">
        <f>IF(ISNA(VLOOKUP(D637,'Standard Smelter Names'!$B$3:$E$153,4,FALSE)),"",VLOOKUP(D637,'Standard Smelter Names'!$B$3:$E$153,4,FALSE))</f>
        <v/>
      </c>
      <c r="B637" s="170"/>
      <c r="C637" s="184"/>
      <c r="D637" s="184" t="str">
        <f t="shared" si="18"/>
        <v/>
      </c>
      <c r="E637" s="170" t="str">
        <f t="shared" si="19"/>
        <v/>
      </c>
      <c r="F637" s="170"/>
      <c r="G637" s="170"/>
      <c r="H637" s="170"/>
      <c r="I637" s="170"/>
      <c r="J637" s="170"/>
      <c r="K637" s="170"/>
      <c r="L637" s="170"/>
      <c r="M637" s="170"/>
      <c r="N637" s="170"/>
      <c r="O637" s="201"/>
    </row>
    <row r="638" spans="1:15" s="139" customFormat="1" ht="15.75">
      <c r="A638" s="205" t="str">
        <f>IF(ISNA(VLOOKUP(D638,'Standard Smelter Names'!$B$3:$E$153,4,FALSE)),"",VLOOKUP(D638,'Standard Smelter Names'!$B$3:$E$153,4,FALSE))</f>
        <v/>
      </c>
      <c r="B638" s="170"/>
      <c r="C638" s="184"/>
      <c r="D638" s="184" t="str">
        <f t="shared" si="18"/>
        <v/>
      </c>
      <c r="E638" s="170" t="str">
        <f t="shared" si="19"/>
        <v/>
      </c>
      <c r="F638" s="170"/>
      <c r="G638" s="170"/>
      <c r="H638" s="170"/>
      <c r="I638" s="170"/>
      <c r="J638" s="170"/>
      <c r="K638" s="170"/>
      <c r="L638" s="170"/>
      <c r="M638" s="170"/>
      <c r="N638" s="170"/>
      <c r="O638" s="201"/>
    </row>
    <row r="639" spans="1:15" s="139" customFormat="1" ht="15.75">
      <c r="A639" s="205" t="str">
        <f>IF(ISNA(VLOOKUP(D639,'Standard Smelter Names'!$B$3:$E$153,4,FALSE)),"",VLOOKUP(D639,'Standard Smelter Names'!$B$3:$E$153,4,FALSE))</f>
        <v/>
      </c>
      <c r="B639" s="170"/>
      <c r="C639" s="184"/>
      <c r="D639" s="184" t="str">
        <f t="shared" si="18"/>
        <v/>
      </c>
      <c r="E639" s="170" t="str">
        <f t="shared" si="19"/>
        <v/>
      </c>
      <c r="F639" s="170"/>
      <c r="G639" s="170"/>
      <c r="H639" s="170"/>
      <c r="I639" s="170"/>
      <c r="J639" s="170"/>
      <c r="K639" s="170"/>
      <c r="L639" s="170"/>
      <c r="M639" s="170"/>
      <c r="N639" s="170"/>
      <c r="O639" s="201"/>
    </row>
    <row r="640" spans="1:15" s="139" customFormat="1" ht="15.75">
      <c r="A640" s="205" t="str">
        <f>IF(ISNA(VLOOKUP(D640,'Standard Smelter Names'!$B$3:$E$153,4,FALSE)),"",VLOOKUP(D640,'Standard Smelter Names'!$B$3:$E$153,4,FALSE))</f>
        <v/>
      </c>
      <c r="B640" s="170"/>
      <c r="C640" s="184"/>
      <c r="D640" s="184" t="str">
        <f t="shared" si="18"/>
        <v/>
      </c>
      <c r="E640" s="170" t="str">
        <f t="shared" si="19"/>
        <v/>
      </c>
      <c r="F640" s="170"/>
      <c r="G640" s="170"/>
      <c r="H640" s="170"/>
      <c r="I640" s="170"/>
      <c r="J640" s="170"/>
      <c r="K640" s="170"/>
      <c r="L640" s="170"/>
      <c r="M640" s="170"/>
      <c r="N640" s="170"/>
      <c r="O640" s="201"/>
    </row>
    <row r="641" spans="1:15" s="139" customFormat="1" ht="15.75">
      <c r="A641" s="205" t="str">
        <f>IF(ISNA(VLOOKUP(D641,'Standard Smelter Names'!$B$3:$E$153,4,FALSE)),"",VLOOKUP(D641,'Standard Smelter Names'!$B$3:$E$153,4,FALSE))</f>
        <v/>
      </c>
      <c r="B641" s="170"/>
      <c r="C641" s="184"/>
      <c r="D641" s="184" t="str">
        <f t="shared" si="18"/>
        <v/>
      </c>
      <c r="E641" s="170" t="str">
        <f t="shared" si="19"/>
        <v/>
      </c>
      <c r="F641" s="170"/>
      <c r="G641" s="170"/>
      <c r="H641" s="170"/>
      <c r="I641" s="170"/>
      <c r="J641" s="170"/>
      <c r="K641" s="170"/>
      <c r="L641" s="170"/>
      <c r="M641" s="170"/>
      <c r="N641" s="170"/>
      <c r="O641" s="201"/>
    </row>
    <row r="642" spans="1:15" s="139" customFormat="1" ht="15.75">
      <c r="A642" s="205" t="str">
        <f>IF(ISNA(VLOOKUP(D642,'Standard Smelter Names'!$B$3:$E$153,4,FALSE)),"",VLOOKUP(D642,'Standard Smelter Names'!$B$3:$E$153,4,FALSE))</f>
        <v/>
      </c>
      <c r="B642" s="170"/>
      <c r="C642" s="184"/>
      <c r="D642" s="184" t="str">
        <f t="shared" si="18"/>
        <v/>
      </c>
      <c r="E642" s="170" t="str">
        <f t="shared" si="19"/>
        <v/>
      </c>
      <c r="F642" s="170"/>
      <c r="G642" s="170"/>
      <c r="H642" s="170"/>
      <c r="I642" s="170"/>
      <c r="J642" s="170"/>
      <c r="K642" s="170"/>
      <c r="L642" s="170"/>
      <c r="M642" s="170"/>
      <c r="N642" s="170"/>
      <c r="O642" s="201"/>
    </row>
    <row r="643" spans="1:15" s="139" customFormat="1" ht="15.75">
      <c r="A643" s="205" t="str">
        <f>IF(ISNA(VLOOKUP(D643,'Standard Smelter Names'!$B$3:$E$153,4,FALSE)),"",VLOOKUP(D643,'Standard Smelter Names'!$B$3:$E$153,4,FALSE))</f>
        <v/>
      </c>
      <c r="B643" s="170"/>
      <c r="C643" s="184"/>
      <c r="D643" s="184" t="str">
        <f t="shared" si="18"/>
        <v/>
      </c>
      <c r="E643" s="170" t="str">
        <f t="shared" si="19"/>
        <v/>
      </c>
      <c r="F643" s="170"/>
      <c r="G643" s="170"/>
      <c r="H643" s="170"/>
      <c r="I643" s="170"/>
      <c r="J643" s="170"/>
      <c r="K643" s="170"/>
      <c r="L643" s="170"/>
      <c r="M643" s="170"/>
      <c r="N643" s="170"/>
      <c r="O643" s="201"/>
    </row>
    <row r="644" spans="1:15" s="139" customFormat="1" ht="15.75">
      <c r="A644" s="205" t="str">
        <f>IF(ISNA(VLOOKUP(D644,'Standard Smelter Names'!$B$3:$E$153,4,FALSE)),"",VLOOKUP(D644,'Standard Smelter Names'!$B$3:$E$153,4,FALSE))</f>
        <v/>
      </c>
      <c r="B644" s="170"/>
      <c r="C644" s="184"/>
      <c r="D644" s="184" t="str">
        <f t="shared" si="18"/>
        <v/>
      </c>
      <c r="E644" s="170" t="str">
        <f t="shared" si="19"/>
        <v/>
      </c>
      <c r="F644" s="170"/>
      <c r="G644" s="170"/>
      <c r="H644" s="170"/>
      <c r="I644" s="170"/>
      <c r="J644" s="170"/>
      <c r="K644" s="170"/>
      <c r="L644" s="170"/>
      <c r="M644" s="170"/>
      <c r="N644" s="170"/>
      <c r="O644" s="201"/>
    </row>
    <row r="645" spans="1:15" s="139" customFormat="1" ht="15.75">
      <c r="A645" s="205" t="str">
        <f>IF(ISNA(VLOOKUP(D645,'Standard Smelter Names'!$B$3:$E$153,4,FALSE)),"",VLOOKUP(D645,'Standard Smelter Names'!$B$3:$E$153,4,FALSE))</f>
        <v/>
      </c>
      <c r="B645" s="170"/>
      <c r="C645" s="184"/>
      <c r="D645" s="184" t="str">
        <f t="shared" ref="D645:D708" si="20">IF(ISNA(VLOOKUP(C645,$G$1023:$I$1309,3,FALSE)),"",VLOOKUP(C645,$G$1023:$I$1309,3,FALSE))</f>
        <v/>
      </c>
      <c r="E645" s="170" t="str">
        <f t="shared" ref="E645:E708" si="21">IF(ISNA(VLOOKUP(C645,$G$1023:$I$1309,2,FALSE)),"",VLOOKUP(C645,$G$1023:$I$1309,2,FALSE))</f>
        <v/>
      </c>
      <c r="F645" s="170"/>
      <c r="G645" s="170"/>
      <c r="H645" s="170"/>
      <c r="I645" s="170"/>
      <c r="J645" s="170"/>
      <c r="K645" s="170"/>
      <c r="L645" s="170"/>
      <c r="M645" s="170"/>
      <c r="N645" s="170"/>
      <c r="O645" s="201"/>
    </row>
    <row r="646" spans="1:15" s="139" customFormat="1" ht="15.75">
      <c r="A646" s="205" t="str">
        <f>IF(ISNA(VLOOKUP(D646,'Standard Smelter Names'!$B$3:$E$153,4,FALSE)),"",VLOOKUP(D646,'Standard Smelter Names'!$B$3:$E$153,4,FALSE))</f>
        <v/>
      </c>
      <c r="B646" s="170"/>
      <c r="C646" s="184"/>
      <c r="D646" s="184" t="str">
        <f t="shared" si="20"/>
        <v/>
      </c>
      <c r="E646" s="170" t="str">
        <f t="shared" si="21"/>
        <v/>
      </c>
      <c r="F646" s="170"/>
      <c r="G646" s="170"/>
      <c r="H646" s="170"/>
      <c r="I646" s="170"/>
      <c r="J646" s="170"/>
      <c r="K646" s="170"/>
      <c r="L646" s="170"/>
      <c r="M646" s="170"/>
      <c r="N646" s="170"/>
      <c r="O646" s="201"/>
    </row>
    <row r="647" spans="1:15" s="139" customFormat="1" ht="15.75">
      <c r="A647" s="205" t="str">
        <f>IF(ISNA(VLOOKUP(D647,'Standard Smelter Names'!$B$3:$E$153,4,FALSE)),"",VLOOKUP(D647,'Standard Smelter Names'!$B$3:$E$153,4,FALSE))</f>
        <v/>
      </c>
      <c r="B647" s="170"/>
      <c r="C647" s="184"/>
      <c r="D647" s="184" t="str">
        <f t="shared" si="20"/>
        <v/>
      </c>
      <c r="E647" s="170" t="str">
        <f t="shared" si="21"/>
        <v/>
      </c>
      <c r="F647" s="170"/>
      <c r="G647" s="170"/>
      <c r="H647" s="170"/>
      <c r="I647" s="170"/>
      <c r="J647" s="170"/>
      <c r="K647" s="170"/>
      <c r="L647" s="170"/>
      <c r="M647" s="170"/>
      <c r="N647" s="170"/>
      <c r="O647" s="201"/>
    </row>
    <row r="648" spans="1:15" s="139" customFormat="1" ht="15.75">
      <c r="A648" s="205" t="str">
        <f>IF(ISNA(VLOOKUP(D648,'Standard Smelter Names'!$B$3:$E$153,4,FALSE)),"",VLOOKUP(D648,'Standard Smelter Names'!$B$3:$E$153,4,FALSE))</f>
        <v/>
      </c>
      <c r="B648" s="170"/>
      <c r="C648" s="184"/>
      <c r="D648" s="184" t="str">
        <f t="shared" si="20"/>
        <v/>
      </c>
      <c r="E648" s="170" t="str">
        <f t="shared" si="21"/>
        <v/>
      </c>
      <c r="F648" s="170"/>
      <c r="G648" s="170"/>
      <c r="H648" s="170"/>
      <c r="I648" s="170"/>
      <c r="J648" s="170"/>
      <c r="K648" s="170"/>
      <c r="L648" s="170"/>
      <c r="M648" s="170"/>
      <c r="N648" s="170"/>
      <c r="O648" s="201"/>
    </row>
    <row r="649" spans="1:15" s="139" customFormat="1" ht="15.75">
      <c r="A649" s="205" t="str">
        <f>IF(ISNA(VLOOKUP(D649,'Standard Smelter Names'!$B$3:$E$153,4,FALSE)),"",VLOOKUP(D649,'Standard Smelter Names'!$B$3:$E$153,4,FALSE))</f>
        <v/>
      </c>
      <c r="B649" s="170"/>
      <c r="C649" s="184"/>
      <c r="D649" s="184" t="str">
        <f t="shared" si="20"/>
        <v/>
      </c>
      <c r="E649" s="170" t="str">
        <f t="shared" si="21"/>
        <v/>
      </c>
      <c r="F649" s="170"/>
      <c r="G649" s="170"/>
      <c r="H649" s="170"/>
      <c r="I649" s="170"/>
      <c r="J649" s="170"/>
      <c r="K649" s="170"/>
      <c r="L649" s="170"/>
      <c r="M649" s="170"/>
      <c r="N649" s="170"/>
      <c r="O649" s="201"/>
    </row>
    <row r="650" spans="1:15" s="139" customFormat="1" ht="15.75">
      <c r="A650" s="205" t="str">
        <f>IF(ISNA(VLOOKUP(D650,'Standard Smelter Names'!$B$3:$E$153,4,FALSE)),"",VLOOKUP(D650,'Standard Smelter Names'!$B$3:$E$153,4,FALSE))</f>
        <v/>
      </c>
      <c r="B650" s="170"/>
      <c r="C650" s="184"/>
      <c r="D650" s="184" t="str">
        <f t="shared" si="20"/>
        <v/>
      </c>
      <c r="E650" s="170" t="str">
        <f t="shared" si="21"/>
        <v/>
      </c>
      <c r="F650" s="170"/>
      <c r="G650" s="170"/>
      <c r="H650" s="170"/>
      <c r="I650" s="170"/>
      <c r="J650" s="170"/>
      <c r="K650" s="170"/>
      <c r="L650" s="170"/>
      <c r="M650" s="170"/>
      <c r="N650" s="170"/>
      <c r="O650" s="201"/>
    </row>
    <row r="651" spans="1:15" s="139" customFormat="1" ht="15.75">
      <c r="A651" s="205" t="str">
        <f>IF(ISNA(VLOOKUP(D651,'Standard Smelter Names'!$B$3:$E$153,4,FALSE)),"",VLOOKUP(D651,'Standard Smelter Names'!$B$3:$E$153,4,FALSE))</f>
        <v/>
      </c>
      <c r="B651" s="170"/>
      <c r="C651" s="184"/>
      <c r="D651" s="184" t="str">
        <f t="shared" si="20"/>
        <v/>
      </c>
      <c r="E651" s="170" t="str">
        <f t="shared" si="21"/>
        <v/>
      </c>
      <c r="F651" s="170"/>
      <c r="G651" s="170"/>
      <c r="H651" s="170"/>
      <c r="I651" s="170"/>
      <c r="J651" s="170"/>
      <c r="K651" s="170"/>
      <c r="L651" s="170"/>
      <c r="M651" s="170"/>
      <c r="N651" s="170"/>
      <c r="O651" s="201"/>
    </row>
    <row r="652" spans="1:15" s="139" customFormat="1" ht="15.75">
      <c r="A652" s="205" t="str">
        <f>IF(ISNA(VLOOKUP(D652,'Standard Smelter Names'!$B$3:$E$153,4,FALSE)),"",VLOOKUP(D652,'Standard Smelter Names'!$B$3:$E$153,4,FALSE))</f>
        <v/>
      </c>
      <c r="B652" s="170"/>
      <c r="C652" s="184"/>
      <c r="D652" s="184" t="str">
        <f t="shared" si="20"/>
        <v/>
      </c>
      <c r="E652" s="170" t="str">
        <f t="shared" si="21"/>
        <v/>
      </c>
      <c r="F652" s="170"/>
      <c r="G652" s="170"/>
      <c r="H652" s="170"/>
      <c r="I652" s="170"/>
      <c r="J652" s="170"/>
      <c r="K652" s="170"/>
      <c r="L652" s="170"/>
      <c r="M652" s="170"/>
      <c r="N652" s="170"/>
      <c r="O652" s="201"/>
    </row>
    <row r="653" spans="1:15" s="139" customFormat="1" ht="15.75">
      <c r="A653" s="205" t="str">
        <f>IF(ISNA(VLOOKUP(D653,'Standard Smelter Names'!$B$3:$E$153,4,FALSE)),"",VLOOKUP(D653,'Standard Smelter Names'!$B$3:$E$153,4,FALSE))</f>
        <v/>
      </c>
      <c r="B653" s="170"/>
      <c r="C653" s="184"/>
      <c r="D653" s="184" t="str">
        <f t="shared" si="20"/>
        <v/>
      </c>
      <c r="E653" s="170" t="str">
        <f t="shared" si="21"/>
        <v/>
      </c>
      <c r="F653" s="170"/>
      <c r="G653" s="170"/>
      <c r="H653" s="170"/>
      <c r="I653" s="170"/>
      <c r="J653" s="170"/>
      <c r="K653" s="170"/>
      <c r="L653" s="170"/>
      <c r="M653" s="170"/>
      <c r="N653" s="170"/>
      <c r="O653" s="201"/>
    </row>
    <row r="654" spans="1:15" s="139" customFormat="1" ht="15.75">
      <c r="A654" s="205" t="str">
        <f>IF(ISNA(VLOOKUP(D654,'Standard Smelter Names'!$B$3:$E$153,4,FALSE)),"",VLOOKUP(D654,'Standard Smelter Names'!$B$3:$E$153,4,FALSE))</f>
        <v/>
      </c>
      <c r="B654" s="170"/>
      <c r="C654" s="184"/>
      <c r="D654" s="184" t="str">
        <f t="shared" si="20"/>
        <v/>
      </c>
      <c r="E654" s="170" t="str">
        <f t="shared" si="21"/>
        <v/>
      </c>
      <c r="F654" s="170"/>
      <c r="G654" s="170"/>
      <c r="H654" s="170"/>
      <c r="I654" s="170"/>
      <c r="J654" s="170"/>
      <c r="K654" s="170"/>
      <c r="L654" s="170"/>
      <c r="M654" s="170"/>
      <c r="N654" s="170"/>
      <c r="O654" s="201"/>
    </row>
    <row r="655" spans="1:15" s="139" customFormat="1" ht="15.75">
      <c r="A655" s="205" t="str">
        <f>IF(ISNA(VLOOKUP(D655,'Standard Smelter Names'!$B$3:$E$153,4,FALSE)),"",VLOOKUP(D655,'Standard Smelter Names'!$B$3:$E$153,4,FALSE))</f>
        <v/>
      </c>
      <c r="B655" s="170"/>
      <c r="C655" s="184"/>
      <c r="D655" s="184" t="str">
        <f t="shared" si="20"/>
        <v/>
      </c>
      <c r="E655" s="170" t="str">
        <f t="shared" si="21"/>
        <v/>
      </c>
      <c r="F655" s="170"/>
      <c r="G655" s="170"/>
      <c r="H655" s="170"/>
      <c r="I655" s="170"/>
      <c r="J655" s="170"/>
      <c r="K655" s="170"/>
      <c r="L655" s="170"/>
      <c r="M655" s="170"/>
      <c r="N655" s="170"/>
      <c r="O655" s="201"/>
    </row>
    <row r="656" spans="1:15" s="139" customFormat="1" ht="15.75">
      <c r="A656" s="205" t="str">
        <f>IF(ISNA(VLOOKUP(D656,'Standard Smelter Names'!$B$3:$E$153,4,FALSE)),"",VLOOKUP(D656,'Standard Smelter Names'!$B$3:$E$153,4,FALSE))</f>
        <v/>
      </c>
      <c r="B656" s="170"/>
      <c r="C656" s="184"/>
      <c r="D656" s="184" t="str">
        <f t="shared" si="20"/>
        <v/>
      </c>
      <c r="E656" s="170" t="str">
        <f t="shared" si="21"/>
        <v/>
      </c>
      <c r="F656" s="170"/>
      <c r="G656" s="170"/>
      <c r="H656" s="170"/>
      <c r="I656" s="170"/>
      <c r="J656" s="170"/>
      <c r="K656" s="170"/>
      <c r="L656" s="170"/>
      <c r="M656" s="170"/>
      <c r="N656" s="170"/>
      <c r="O656" s="201"/>
    </row>
    <row r="657" spans="1:15" s="139" customFormat="1" ht="15.75">
      <c r="A657" s="205" t="str">
        <f>IF(ISNA(VLOOKUP(D657,'Standard Smelter Names'!$B$3:$E$153,4,FALSE)),"",VLOOKUP(D657,'Standard Smelter Names'!$B$3:$E$153,4,FALSE))</f>
        <v/>
      </c>
      <c r="B657" s="170"/>
      <c r="C657" s="184"/>
      <c r="D657" s="184" t="str">
        <f t="shared" si="20"/>
        <v/>
      </c>
      <c r="E657" s="170" t="str">
        <f t="shared" si="21"/>
        <v/>
      </c>
      <c r="F657" s="170"/>
      <c r="G657" s="170"/>
      <c r="H657" s="170"/>
      <c r="I657" s="170"/>
      <c r="J657" s="170"/>
      <c r="K657" s="170"/>
      <c r="L657" s="170"/>
      <c r="M657" s="170"/>
      <c r="N657" s="170"/>
      <c r="O657" s="201"/>
    </row>
    <row r="658" spans="1:15" s="139" customFormat="1" ht="15.75">
      <c r="A658" s="205" t="str">
        <f>IF(ISNA(VLOOKUP(D658,'Standard Smelter Names'!$B$3:$E$153,4,FALSE)),"",VLOOKUP(D658,'Standard Smelter Names'!$B$3:$E$153,4,FALSE))</f>
        <v/>
      </c>
      <c r="B658" s="170"/>
      <c r="C658" s="184"/>
      <c r="D658" s="184" t="str">
        <f t="shared" si="20"/>
        <v/>
      </c>
      <c r="E658" s="170" t="str">
        <f t="shared" si="21"/>
        <v/>
      </c>
      <c r="F658" s="170"/>
      <c r="G658" s="170"/>
      <c r="H658" s="170"/>
      <c r="I658" s="170"/>
      <c r="J658" s="170"/>
      <c r="K658" s="170"/>
      <c r="L658" s="170"/>
      <c r="M658" s="170"/>
      <c r="N658" s="170"/>
      <c r="O658" s="201"/>
    </row>
    <row r="659" spans="1:15" s="139" customFormat="1" ht="15.75">
      <c r="A659" s="205" t="str">
        <f>IF(ISNA(VLOOKUP(D659,'Standard Smelter Names'!$B$3:$E$153,4,FALSE)),"",VLOOKUP(D659,'Standard Smelter Names'!$B$3:$E$153,4,FALSE))</f>
        <v/>
      </c>
      <c r="B659" s="170"/>
      <c r="C659" s="184"/>
      <c r="D659" s="184" t="str">
        <f t="shared" si="20"/>
        <v/>
      </c>
      <c r="E659" s="170" t="str">
        <f t="shared" si="21"/>
        <v/>
      </c>
      <c r="F659" s="170"/>
      <c r="G659" s="170"/>
      <c r="H659" s="170"/>
      <c r="I659" s="170"/>
      <c r="J659" s="170"/>
      <c r="K659" s="170"/>
      <c r="L659" s="170"/>
      <c r="M659" s="170"/>
      <c r="N659" s="170"/>
      <c r="O659" s="201"/>
    </row>
    <row r="660" spans="1:15" s="139" customFormat="1" ht="15.75">
      <c r="A660" s="205" t="str">
        <f>IF(ISNA(VLOOKUP(D660,'Standard Smelter Names'!$B$3:$E$153,4,FALSE)),"",VLOOKUP(D660,'Standard Smelter Names'!$B$3:$E$153,4,FALSE))</f>
        <v/>
      </c>
      <c r="B660" s="170"/>
      <c r="C660" s="184"/>
      <c r="D660" s="184" t="str">
        <f t="shared" si="20"/>
        <v/>
      </c>
      <c r="E660" s="170" t="str">
        <f t="shared" si="21"/>
        <v/>
      </c>
      <c r="F660" s="170"/>
      <c r="G660" s="170"/>
      <c r="H660" s="170"/>
      <c r="I660" s="170"/>
      <c r="J660" s="170"/>
      <c r="K660" s="170"/>
      <c r="L660" s="170"/>
      <c r="M660" s="170"/>
      <c r="N660" s="170"/>
      <c r="O660" s="201"/>
    </row>
    <row r="661" spans="1:15" s="139" customFormat="1" ht="15.75">
      <c r="A661" s="205" t="str">
        <f>IF(ISNA(VLOOKUP(D661,'Standard Smelter Names'!$B$3:$E$153,4,FALSE)),"",VLOOKUP(D661,'Standard Smelter Names'!$B$3:$E$153,4,FALSE))</f>
        <v/>
      </c>
      <c r="B661" s="170"/>
      <c r="C661" s="184"/>
      <c r="D661" s="184" t="str">
        <f t="shared" si="20"/>
        <v/>
      </c>
      <c r="E661" s="170" t="str">
        <f t="shared" si="21"/>
        <v/>
      </c>
      <c r="F661" s="170"/>
      <c r="G661" s="170"/>
      <c r="H661" s="170"/>
      <c r="I661" s="170"/>
      <c r="J661" s="170"/>
      <c r="K661" s="170"/>
      <c r="L661" s="170"/>
      <c r="M661" s="170"/>
      <c r="N661" s="170"/>
      <c r="O661" s="201"/>
    </row>
    <row r="662" spans="1:15" s="139" customFormat="1" ht="15.75">
      <c r="A662" s="205" t="str">
        <f>IF(ISNA(VLOOKUP(D662,'Standard Smelter Names'!$B$3:$E$153,4,FALSE)),"",VLOOKUP(D662,'Standard Smelter Names'!$B$3:$E$153,4,FALSE))</f>
        <v/>
      </c>
      <c r="B662" s="170"/>
      <c r="C662" s="184"/>
      <c r="D662" s="184" t="str">
        <f t="shared" si="20"/>
        <v/>
      </c>
      <c r="E662" s="170" t="str">
        <f t="shared" si="21"/>
        <v/>
      </c>
      <c r="F662" s="170"/>
      <c r="G662" s="170"/>
      <c r="H662" s="170"/>
      <c r="I662" s="170"/>
      <c r="J662" s="170"/>
      <c r="K662" s="170"/>
      <c r="L662" s="170"/>
      <c r="M662" s="170"/>
      <c r="N662" s="170"/>
      <c r="O662" s="201"/>
    </row>
    <row r="663" spans="1:15" s="139" customFormat="1" ht="15.75">
      <c r="A663" s="205" t="str">
        <f>IF(ISNA(VLOOKUP(D663,'Standard Smelter Names'!$B$3:$E$153,4,FALSE)),"",VLOOKUP(D663,'Standard Smelter Names'!$B$3:$E$153,4,FALSE))</f>
        <v/>
      </c>
      <c r="B663" s="170"/>
      <c r="C663" s="184"/>
      <c r="D663" s="184" t="str">
        <f t="shared" si="20"/>
        <v/>
      </c>
      <c r="E663" s="170" t="str">
        <f t="shared" si="21"/>
        <v/>
      </c>
      <c r="F663" s="170"/>
      <c r="G663" s="170"/>
      <c r="H663" s="170"/>
      <c r="I663" s="170"/>
      <c r="J663" s="170"/>
      <c r="K663" s="170"/>
      <c r="L663" s="170"/>
      <c r="M663" s="170"/>
      <c r="N663" s="170"/>
      <c r="O663" s="201"/>
    </row>
    <row r="664" spans="1:15" s="139" customFormat="1" ht="15.75">
      <c r="A664" s="205" t="str">
        <f>IF(ISNA(VLOOKUP(D664,'Standard Smelter Names'!$B$3:$E$153,4,FALSE)),"",VLOOKUP(D664,'Standard Smelter Names'!$B$3:$E$153,4,FALSE))</f>
        <v/>
      </c>
      <c r="B664" s="170"/>
      <c r="C664" s="184"/>
      <c r="D664" s="184" t="str">
        <f t="shared" si="20"/>
        <v/>
      </c>
      <c r="E664" s="170" t="str">
        <f t="shared" si="21"/>
        <v/>
      </c>
      <c r="F664" s="170"/>
      <c r="G664" s="170"/>
      <c r="H664" s="170"/>
      <c r="I664" s="170"/>
      <c r="J664" s="170"/>
      <c r="K664" s="170"/>
      <c r="L664" s="170"/>
      <c r="M664" s="170"/>
      <c r="N664" s="170"/>
      <c r="O664" s="201"/>
    </row>
    <row r="665" spans="1:15" s="139" customFormat="1" ht="15.75">
      <c r="A665" s="205" t="str">
        <f>IF(ISNA(VLOOKUP(D665,'Standard Smelter Names'!$B$3:$E$153,4,FALSE)),"",VLOOKUP(D665,'Standard Smelter Names'!$B$3:$E$153,4,FALSE))</f>
        <v/>
      </c>
      <c r="B665" s="170"/>
      <c r="C665" s="184"/>
      <c r="D665" s="184" t="str">
        <f t="shared" si="20"/>
        <v/>
      </c>
      <c r="E665" s="170" t="str">
        <f t="shared" si="21"/>
        <v/>
      </c>
      <c r="F665" s="170"/>
      <c r="G665" s="170"/>
      <c r="H665" s="170"/>
      <c r="I665" s="170"/>
      <c r="J665" s="170"/>
      <c r="K665" s="170"/>
      <c r="L665" s="170"/>
      <c r="M665" s="170"/>
      <c r="N665" s="170"/>
      <c r="O665" s="201"/>
    </row>
    <row r="666" spans="1:15" s="139" customFormat="1" ht="15.75">
      <c r="A666" s="205" t="str">
        <f>IF(ISNA(VLOOKUP(D666,'Standard Smelter Names'!$B$3:$E$153,4,FALSE)),"",VLOOKUP(D666,'Standard Smelter Names'!$B$3:$E$153,4,FALSE))</f>
        <v/>
      </c>
      <c r="B666" s="170"/>
      <c r="C666" s="184"/>
      <c r="D666" s="184" t="str">
        <f t="shared" si="20"/>
        <v/>
      </c>
      <c r="E666" s="170" t="str">
        <f t="shared" si="21"/>
        <v/>
      </c>
      <c r="F666" s="170"/>
      <c r="G666" s="170"/>
      <c r="H666" s="170"/>
      <c r="I666" s="170"/>
      <c r="J666" s="170"/>
      <c r="K666" s="170"/>
      <c r="L666" s="170"/>
      <c r="M666" s="170"/>
      <c r="N666" s="170"/>
      <c r="O666" s="201"/>
    </row>
    <row r="667" spans="1:15" s="139" customFormat="1" ht="15.75">
      <c r="A667" s="205" t="str">
        <f>IF(ISNA(VLOOKUP(D667,'Standard Smelter Names'!$B$3:$E$153,4,FALSE)),"",VLOOKUP(D667,'Standard Smelter Names'!$B$3:$E$153,4,FALSE))</f>
        <v/>
      </c>
      <c r="B667" s="170"/>
      <c r="C667" s="184"/>
      <c r="D667" s="184" t="str">
        <f t="shared" si="20"/>
        <v/>
      </c>
      <c r="E667" s="170" t="str">
        <f t="shared" si="21"/>
        <v/>
      </c>
      <c r="F667" s="170"/>
      <c r="G667" s="170"/>
      <c r="H667" s="170"/>
      <c r="I667" s="170"/>
      <c r="J667" s="170"/>
      <c r="K667" s="170"/>
      <c r="L667" s="170"/>
      <c r="M667" s="170"/>
      <c r="N667" s="170"/>
      <c r="O667" s="201"/>
    </row>
    <row r="668" spans="1:15" s="139" customFormat="1" ht="15.75">
      <c r="A668" s="205" t="str">
        <f>IF(ISNA(VLOOKUP(D668,'Standard Smelter Names'!$B$3:$E$153,4,FALSE)),"",VLOOKUP(D668,'Standard Smelter Names'!$B$3:$E$153,4,FALSE))</f>
        <v/>
      </c>
      <c r="B668" s="170"/>
      <c r="C668" s="184"/>
      <c r="D668" s="184" t="str">
        <f t="shared" si="20"/>
        <v/>
      </c>
      <c r="E668" s="170" t="str">
        <f t="shared" si="21"/>
        <v/>
      </c>
      <c r="F668" s="170"/>
      <c r="G668" s="170"/>
      <c r="H668" s="170"/>
      <c r="I668" s="170"/>
      <c r="J668" s="170"/>
      <c r="K668" s="170"/>
      <c r="L668" s="170"/>
      <c r="M668" s="170"/>
      <c r="N668" s="170"/>
      <c r="O668" s="201"/>
    </row>
    <row r="669" spans="1:15" s="139" customFormat="1" ht="15.75">
      <c r="A669" s="205" t="str">
        <f>IF(ISNA(VLOOKUP(D669,'Standard Smelter Names'!$B$3:$E$153,4,FALSE)),"",VLOOKUP(D669,'Standard Smelter Names'!$B$3:$E$153,4,FALSE))</f>
        <v/>
      </c>
      <c r="B669" s="170"/>
      <c r="C669" s="184"/>
      <c r="D669" s="184" t="str">
        <f t="shared" si="20"/>
        <v/>
      </c>
      <c r="E669" s="170" t="str">
        <f t="shared" si="21"/>
        <v/>
      </c>
      <c r="F669" s="170"/>
      <c r="G669" s="170"/>
      <c r="H669" s="170"/>
      <c r="I669" s="170"/>
      <c r="J669" s="170"/>
      <c r="K669" s="170"/>
      <c r="L669" s="170"/>
      <c r="M669" s="170"/>
      <c r="N669" s="170"/>
      <c r="O669" s="201"/>
    </row>
    <row r="670" spans="1:15" s="139" customFormat="1" ht="15.75">
      <c r="A670" s="205" t="str">
        <f>IF(ISNA(VLOOKUP(D670,'Standard Smelter Names'!$B$3:$E$153,4,FALSE)),"",VLOOKUP(D670,'Standard Smelter Names'!$B$3:$E$153,4,FALSE))</f>
        <v/>
      </c>
      <c r="B670" s="170"/>
      <c r="C670" s="184"/>
      <c r="D670" s="184" t="str">
        <f t="shared" si="20"/>
        <v/>
      </c>
      <c r="E670" s="170" t="str">
        <f t="shared" si="21"/>
        <v/>
      </c>
      <c r="F670" s="170"/>
      <c r="G670" s="170"/>
      <c r="H670" s="170"/>
      <c r="I670" s="170"/>
      <c r="J670" s="170"/>
      <c r="K670" s="170"/>
      <c r="L670" s="170"/>
      <c r="M670" s="170"/>
      <c r="N670" s="170"/>
      <c r="O670" s="201"/>
    </row>
    <row r="671" spans="1:15" s="139" customFormat="1" ht="15.75">
      <c r="A671" s="205" t="str">
        <f>IF(ISNA(VLOOKUP(D671,'Standard Smelter Names'!$B$3:$E$153,4,FALSE)),"",VLOOKUP(D671,'Standard Smelter Names'!$B$3:$E$153,4,FALSE))</f>
        <v/>
      </c>
      <c r="B671" s="170"/>
      <c r="C671" s="184"/>
      <c r="D671" s="184" t="str">
        <f t="shared" si="20"/>
        <v/>
      </c>
      <c r="E671" s="170" t="str">
        <f t="shared" si="21"/>
        <v/>
      </c>
      <c r="F671" s="170"/>
      <c r="G671" s="170"/>
      <c r="H671" s="170"/>
      <c r="I671" s="170"/>
      <c r="J671" s="170"/>
      <c r="K671" s="170"/>
      <c r="L671" s="170"/>
      <c r="M671" s="170"/>
      <c r="N671" s="170"/>
      <c r="O671" s="201"/>
    </row>
    <row r="672" spans="1:15" s="139" customFormat="1" ht="15.75">
      <c r="A672" s="205" t="str">
        <f>IF(ISNA(VLOOKUP(D672,'Standard Smelter Names'!$B$3:$E$153,4,FALSE)),"",VLOOKUP(D672,'Standard Smelter Names'!$B$3:$E$153,4,FALSE))</f>
        <v/>
      </c>
      <c r="B672" s="170"/>
      <c r="C672" s="184"/>
      <c r="D672" s="184" t="str">
        <f t="shared" si="20"/>
        <v/>
      </c>
      <c r="E672" s="170" t="str">
        <f t="shared" si="21"/>
        <v/>
      </c>
      <c r="F672" s="170"/>
      <c r="G672" s="170"/>
      <c r="H672" s="170"/>
      <c r="I672" s="170"/>
      <c r="J672" s="170"/>
      <c r="K672" s="170"/>
      <c r="L672" s="170"/>
      <c r="M672" s="170"/>
      <c r="N672" s="170"/>
      <c r="O672" s="201"/>
    </row>
    <row r="673" spans="1:15" s="139" customFormat="1" ht="15.75">
      <c r="A673" s="205" t="str">
        <f>IF(ISNA(VLOOKUP(D673,'Standard Smelter Names'!$B$3:$E$153,4,FALSE)),"",VLOOKUP(D673,'Standard Smelter Names'!$B$3:$E$153,4,FALSE))</f>
        <v/>
      </c>
      <c r="B673" s="170"/>
      <c r="C673" s="184"/>
      <c r="D673" s="184" t="str">
        <f t="shared" si="20"/>
        <v/>
      </c>
      <c r="E673" s="170" t="str">
        <f t="shared" si="21"/>
        <v/>
      </c>
      <c r="F673" s="170"/>
      <c r="G673" s="170"/>
      <c r="H673" s="170"/>
      <c r="I673" s="170"/>
      <c r="J673" s="170"/>
      <c r="K673" s="170"/>
      <c r="L673" s="170"/>
      <c r="M673" s="170"/>
      <c r="N673" s="170"/>
      <c r="O673" s="201"/>
    </row>
    <row r="674" spans="1:15" s="139" customFormat="1" ht="15.75">
      <c r="A674" s="205" t="str">
        <f>IF(ISNA(VLOOKUP(D674,'Standard Smelter Names'!$B$3:$E$153,4,FALSE)),"",VLOOKUP(D674,'Standard Smelter Names'!$B$3:$E$153,4,FALSE))</f>
        <v/>
      </c>
      <c r="B674" s="170"/>
      <c r="C674" s="184"/>
      <c r="D674" s="184" t="str">
        <f t="shared" si="20"/>
        <v/>
      </c>
      <c r="E674" s="170" t="str">
        <f t="shared" si="21"/>
        <v/>
      </c>
      <c r="F674" s="170"/>
      <c r="G674" s="170"/>
      <c r="H674" s="170"/>
      <c r="I674" s="170"/>
      <c r="J674" s="170"/>
      <c r="K674" s="170"/>
      <c r="L674" s="170"/>
      <c r="M674" s="170"/>
      <c r="N674" s="170"/>
      <c r="O674" s="201"/>
    </row>
    <row r="675" spans="1:15" s="139" customFormat="1" ht="15.75">
      <c r="A675" s="205" t="str">
        <f>IF(ISNA(VLOOKUP(D675,'Standard Smelter Names'!$B$3:$E$153,4,FALSE)),"",VLOOKUP(D675,'Standard Smelter Names'!$B$3:$E$153,4,FALSE))</f>
        <v/>
      </c>
      <c r="B675" s="170"/>
      <c r="C675" s="184"/>
      <c r="D675" s="184" t="str">
        <f t="shared" si="20"/>
        <v/>
      </c>
      <c r="E675" s="170" t="str">
        <f t="shared" si="21"/>
        <v/>
      </c>
      <c r="F675" s="170"/>
      <c r="G675" s="170"/>
      <c r="H675" s="170"/>
      <c r="I675" s="170"/>
      <c r="J675" s="170"/>
      <c r="K675" s="170"/>
      <c r="L675" s="170"/>
      <c r="M675" s="170"/>
      <c r="N675" s="170"/>
      <c r="O675" s="201"/>
    </row>
    <row r="676" spans="1:15" s="139" customFormat="1" ht="15.75">
      <c r="A676" s="205" t="str">
        <f>IF(ISNA(VLOOKUP(D676,'Standard Smelter Names'!$B$3:$E$153,4,FALSE)),"",VLOOKUP(D676,'Standard Smelter Names'!$B$3:$E$153,4,FALSE))</f>
        <v/>
      </c>
      <c r="B676" s="170"/>
      <c r="C676" s="184"/>
      <c r="D676" s="184" t="str">
        <f t="shared" si="20"/>
        <v/>
      </c>
      <c r="E676" s="170" t="str">
        <f t="shared" si="21"/>
        <v/>
      </c>
      <c r="F676" s="170"/>
      <c r="G676" s="170"/>
      <c r="H676" s="170"/>
      <c r="I676" s="170"/>
      <c r="J676" s="170"/>
      <c r="K676" s="170"/>
      <c r="L676" s="170"/>
      <c r="M676" s="170"/>
      <c r="N676" s="170"/>
      <c r="O676" s="201"/>
    </row>
    <row r="677" spans="1:15" s="139" customFormat="1" ht="15.75">
      <c r="A677" s="205" t="str">
        <f>IF(ISNA(VLOOKUP(D677,'Standard Smelter Names'!$B$3:$E$153,4,FALSE)),"",VLOOKUP(D677,'Standard Smelter Names'!$B$3:$E$153,4,FALSE))</f>
        <v/>
      </c>
      <c r="B677" s="170"/>
      <c r="C677" s="184"/>
      <c r="D677" s="184" t="str">
        <f t="shared" si="20"/>
        <v/>
      </c>
      <c r="E677" s="170" t="str">
        <f t="shared" si="21"/>
        <v/>
      </c>
      <c r="F677" s="170"/>
      <c r="G677" s="170"/>
      <c r="H677" s="170"/>
      <c r="I677" s="170"/>
      <c r="J677" s="170"/>
      <c r="K677" s="170"/>
      <c r="L677" s="170"/>
      <c r="M677" s="170"/>
      <c r="N677" s="170"/>
      <c r="O677" s="201"/>
    </row>
    <row r="678" spans="1:15" s="139" customFormat="1" ht="15.75">
      <c r="A678" s="205" t="str">
        <f>IF(ISNA(VLOOKUP(D678,'Standard Smelter Names'!$B$3:$E$153,4,FALSE)),"",VLOOKUP(D678,'Standard Smelter Names'!$B$3:$E$153,4,FALSE))</f>
        <v/>
      </c>
      <c r="B678" s="170"/>
      <c r="C678" s="184"/>
      <c r="D678" s="184" t="str">
        <f t="shared" si="20"/>
        <v/>
      </c>
      <c r="E678" s="170" t="str">
        <f t="shared" si="21"/>
        <v/>
      </c>
      <c r="F678" s="170"/>
      <c r="G678" s="170"/>
      <c r="H678" s="170"/>
      <c r="I678" s="170"/>
      <c r="J678" s="170"/>
      <c r="K678" s="170"/>
      <c r="L678" s="170"/>
      <c r="M678" s="170"/>
      <c r="N678" s="170"/>
      <c r="O678" s="201"/>
    </row>
    <row r="679" spans="1:15" s="139" customFormat="1" ht="15.75">
      <c r="A679" s="205" t="str">
        <f>IF(ISNA(VLOOKUP(D679,'Standard Smelter Names'!$B$3:$E$153,4,FALSE)),"",VLOOKUP(D679,'Standard Smelter Names'!$B$3:$E$153,4,FALSE))</f>
        <v/>
      </c>
      <c r="B679" s="170"/>
      <c r="C679" s="184"/>
      <c r="D679" s="184" t="str">
        <f t="shared" si="20"/>
        <v/>
      </c>
      <c r="E679" s="170" t="str">
        <f t="shared" si="21"/>
        <v/>
      </c>
      <c r="F679" s="170"/>
      <c r="G679" s="170"/>
      <c r="H679" s="170"/>
      <c r="I679" s="170"/>
      <c r="J679" s="170"/>
      <c r="K679" s="170"/>
      <c r="L679" s="170"/>
      <c r="M679" s="170"/>
      <c r="N679" s="170"/>
      <c r="O679" s="201"/>
    </row>
    <row r="680" spans="1:15" s="139" customFormat="1" ht="15.75">
      <c r="A680" s="205" t="str">
        <f>IF(ISNA(VLOOKUP(D680,'Standard Smelter Names'!$B$3:$E$153,4,FALSE)),"",VLOOKUP(D680,'Standard Smelter Names'!$B$3:$E$153,4,FALSE))</f>
        <v/>
      </c>
      <c r="B680" s="170"/>
      <c r="C680" s="184"/>
      <c r="D680" s="184" t="str">
        <f t="shared" si="20"/>
        <v/>
      </c>
      <c r="E680" s="170" t="str">
        <f t="shared" si="21"/>
        <v/>
      </c>
      <c r="F680" s="170"/>
      <c r="G680" s="170"/>
      <c r="H680" s="170"/>
      <c r="I680" s="170"/>
      <c r="J680" s="170"/>
      <c r="K680" s="170"/>
      <c r="L680" s="170"/>
      <c r="M680" s="170"/>
      <c r="N680" s="170"/>
      <c r="O680" s="201"/>
    </row>
    <row r="681" spans="1:15" s="139" customFormat="1" ht="15.75">
      <c r="A681" s="205" t="str">
        <f>IF(ISNA(VLOOKUP(D681,'Standard Smelter Names'!$B$3:$E$153,4,FALSE)),"",VLOOKUP(D681,'Standard Smelter Names'!$B$3:$E$153,4,FALSE))</f>
        <v/>
      </c>
      <c r="B681" s="170"/>
      <c r="C681" s="184"/>
      <c r="D681" s="184" t="str">
        <f t="shared" si="20"/>
        <v/>
      </c>
      <c r="E681" s="170" t="str">
        <f t="shared" si="21"/>
        <v/>
      </c>
      <c r="F681" s="170"/>
      <c r="G681" s="170"/>
      <c r="H681" s="170"/>
      <c r="I681" s="170"/>
      <c r="J681" s="170"/>
      <c r="K681" s="170"/>
      <c r="L681" s="170"/>
      <c r="M681" s="170"/>
      <c r="N681" s="170"/>
      <c r="O681" s="201"/>
    </row>
    <row r="682" spans="1:15" s="139" customFormat="1" ht="15.75">
      <c r="A682" s="205" t="str">
        <f>IF(ISNA(VLOOKUP(D682,'Standard Smelter Names'!$B$3:$E$153,4,FALSE)),"",VLOOKUP(D682,'Standard Smelter Names'!$B$3:$E$153,4,FALSE))</f>
        <v/>
      </c>
      <c r="B682" s="170"/>
      <c r="C682" s="184"/>
      <c r="D682" s="184" t="str">
        <f t="shared" si="20"/>
        <v/>
      </c>
      <c r="E682" s="170" t="str">
        <f t="shared" si="21"/>
        <v/>
      </c>
      <c r="F682" s="170"/>
      <c r="G682" s="170"/>
      <c r="H682" s="170"/>
      <c r="I682" s="170"/>
      <c r="J682" s="170"/>
      <c r="K682" s="170"/>
      <c r="L682" s="170"/>
      <c r="M682" s="170"/>
      <c r="N682" s="170"/>
      <c r="O682" s="201"/>
    </row>
    <row r="683" spans="1:15" s="139" customFormat="1" ht="15.75">
      <c r="A683" s="205" t="str">
        <f>IF(ISNA(VLOOKUP(D683,'Standard Smelter Names'!$B$3:$E$153,4,FALSE)),"",VLOOKUP(D683,'Standard Smelter Names'!$B$3:$E$153,4,FALSE))</f>
        <v/>
      </c>
      <c r="B683" s="170"/>
      <c r="C683" s="184"/>
      <c r="D683" s="184" t="str">
        <f t="shared" si="20"/>
        <v/>
      </c>
      <c r="E683" s="170" t="str">
        <f t="shared" si="21"/>
        <v/>
      </c>
      <c r="F683" s="170"/>
      <c r="G683" s="170"/>
      <c r="H683" s="170"/>
      <c r="I683" s="170"/>
      <c r="J683" s="170"/>
      <c r="K683" s="170"/>
      <c r="L683" s="170"/>
      <c r="M683" s="170"/>
      <c r="N683" s="170"/>
      <c r="O683" s="201"/>
    </row>
    <row r="684" spans="1:15" s="139" customFormat="1" ht="15.75">
      <c r="A684" s="205" t="str">
        <f>IF(ISNA(VLOOKUP(D684,'Standard Smelter Names'!$B$3:$E$153,4,FALSE)),"",VLOOKUP(D684,'Standard Smelter Names'!$B$3:$E$153,4,FALSE))</f>
        <v/>
      </c>
      <c r="B684" s="170"/>
      <c r="C684" s="184"/>
      <c r="D684" s="184" t="str">
        <f t="shared" si="20"/>
        <v/>
      </c>
      <c r="E684" s="170" t="str">
        <f t="shared" si="21"/>
        <v/>
      </c>
      <c r="F684" s="170"/>
      <c r="G684" s="170"/>
      <c r="H684" s="170"/>
      <c r="I684" s="170"/>
      <c r="J684" s="170"/>
      <c r="K684" s="170"/>
      <c r="L684" s="170"/>
      <c r="M684" s="170"/>
      <c r="N684" s="170"/>
      <c r="O684" s="201"/>
    </row>
    <row r="685" spans="1:15" s="139" customFormat="1" ht="15.75">
      <c r="A685" s="205" t="str">
        <f>IF(ISNA(VLOOKUP(D685,'Standard Smelter Names'!$B$3:$E$153,4,FALSE)),"",VLOOKUP(D685,'Standard Smelter Names'!$B$3:$E$153,4,FALSE))</f>
        <v/>
      </c>
      <c r="B685" s="170"/>
      <c r="C685" s="184"/>
      <c r="D685" s="184" t="str">
        <f t="shared" si="20"/>
        <v/>
      </c>
      <c r="E685" s="170" t="str">
        <f t="shared" si="21"/>
        <v/>
      </c>
      <c r="F685" s="170"/>
      <c r="G685" s="170"/>
      <c r="H685" s="170"/>
      <c r="I685" s="170"/>
      <c r="J685" s="170"/>
      <c r="K685" s="170"/>
      <c r="L685" s="170"/>
      <c r="M685" s="170"/>
      <c r="N685" s="170"/>
      <c r="O685" s="201"/>
    </row>
    <row r="686" spans="1:15" s="139" customFormat="1" ht="15.75">
      <c r="A686" s="205" t="str">
        <f>IF(ISNA(VLOOKUP(D686,'Standard Smelter Names'!$B$3:$E$153,4,FALSE)),"",VLOOKUP(D686,'Standard Smelter Names'!$B$3:$E$153,4,FALSE))</f>
        <v/>
      </c>
      <c r="B686" s="170"/>
      <c r="C686" s="184"/>
      <c r="D686" s="184" t="str">
        <f t="shared" si="20"/>
        <v/>
      </c>
      <c r="E686" s="170" t="str">
        <f t="shared" si="21"/>
        <v/>
      </c>
      <c r="F686" s="170"/>
      <c r="G686" s="170"/>
      <c r="H686" s="170"/>
      <c r="I686" s="170"/>
      <c r="J686" s="170"/>
      <c r="K686" s="170"/>
      <c r="L686" s="170"/>
      <c r="M686" s="170"/>
      <c r="N686" s="170"/>
      <c r="O686" s="201"/>
    </row>
    <row r="687" spans="1:15" s="139" customFormat="1" ht="15.75">
      <c r="A687" s="205" t="str">
        <f>IF(ISNA(VLOOKUP(D687,'Standard Smelter Names'!$B$3:$E$153,4,FALSE)),"",VLOOKUP(D687,'Standard Smelter Names'!$B$3:$E$153,4,FALSE))</f>
        <v/>
      </c>
      <c r="B687" s="170"/>
      <c r="C687" s="184"/>
      <c r="D687" s="184" t="str">
        <f t="shared" si="20"/>
        <v/>
      </c>
      <c r="E687" s="170" t="str">
        <f t="shared" si="21"/>
        <v/>
      </c>
      <c r="F687" s="170"/>
      <c r="G687" s="170"/>
      <c r="H687" s="170"/>
      <c r="I687" s="170"/>
      <c r="J687" s="170"/>
      <c r="K687" s="170"/>
      <c r="L687" s="170"/>
      <c r="M687" s="170"/>
      <c r="N687" s="170"/>
      <c r="O687" s="201"/>
    </row>
    <row r="688" spans="1:15" s="139" customFormat="1" ht="15.75">
      <c r="A688" s="205" t="str">
        <f>IF(ISNA(VLOOKUP(D688,'Standard Smelter Names'!$B$3:$E$153,4,FALSE)),"",VLOOKUP(D688,'Standard Smelter Names'!$B$3:$E$153,4,FALSE))</f>
        <v/>
      </c>
      <c r="B688" s="170"/>
      <c r="C688" s="184"/>
      <c r="D688" s="184" t="str">
        <f t="shared" si="20"/>
        <v/>
      </c>
      <c r="E688" s="170" t="str">
        <f t="shared" si="21"/>
        <v/>
      </c>
      <c r="F688" s="170"/>
      <c r="G688" s="170"/>
      <c r="H688" s="170"/>
      <c r="I688" s="170"/>
      <c r="J688" s="170"/>
      <c r="K688" s="170"/>
      <c r="L688" s="170"/>
      <c r="M688" s="170"/>
      <c r="N688" s="170"/>
      <c r="O688" s="201"/>
    </row>
    <row r="689" spans="1:15" s="139" customFormat="1" ht="15.75">
      <c r="A689" s="205" t="str">
        <f>IF(ISNA(VLOOKUP(D689,'Standard Smelter Names'!$B$3:$E$153,4,FALSE)),"",VLOOKUP(D689,'Standard Smelter Names'!$B$3:$E$153,4,FALSE))</f>
        <v/>
      </c>
      <c r="B689" s="170"/>
      <c r="C689" s="184"/>
      <c r="D689" s="184" t="str">
        <f t="shared" si="20"/>
        <v/>
      </c>
      <c r="E689" s="170" t="str">
        <f t="shared" si="21"/>
        <v/>
      </c>
      <c r="F689" s="170"/>
      <c r="G689" s="170"/>
      <c r="H689" s="170"/>
      <c r="I689" s="170"/>
      <c r="J689" s="170"/>
      <c r="K689" s="170"/>
      <c r="L689" s="170"/>
      <c r="M689" s="170"/>
      <c r="N689" s="170"/>
      <c r="O689" s="201"/>
    </row>
    <row r="690" spans="1:15" s="139" customFormat="1" ht="15.75">
      <c r="A690" s="205" t="str">
        <f>IF(ISNA(VLOOKUP(D690,'Standard Smelter Names'!$B$3:$E$153,4,FALSE)),"",VLOOKUP(D690,'Standard Smelter Names'!$B$3:$E$153,4,FALSE))</f>
        <v/>
      </c>
      <c r="B690" s="170"/>
      <c r="C690" s="184"/>
      <c r="D690" s="184" t="str">
        <f t="shared" si="20"/>
        <v/>
      </c>
      <c r="E690" s="170" t="str">
        <f t="shared" si="21"/>
        <v/>
      </c>
      <c r="F690" s="170"/>
      <c r="G690" s="170"/>
      <c r="H690" s="170"/>
      <c r="I690" s="170"/>
      <c r="J690" s="170"/>
      <c r="K690" s="170"/>
      <c r="L690" s="170"/>
      <c r="M690" s="170"/>
      <c r="N690" s="170"/>
      <c r="O690" s="201"/>
    </row>
    <row r="691" spans="1:15" s="139" customFormat="1" ht="15.75">
      <c r="A691" s="205" t="str">
        <f>IF(ISNA(VLOOKUP(D691,'Standard Smelter Names'!$B$3:$E$153,4,FALSE)),"",VLOOKUP(D691,'Standard Smelter Names'!$B$3:$E$153,4,FALSE))</f>
        <v/>
      </c>
      <c r="B691" s="170"/>
      <c r="C691" s="184"/>
      <c r="D691" s="184" t="str">
        <f t="shared" si="20"/>
        <v/>
      </c>
      <c r="E691" s="170" t="str">
        <f t="shared" si="21"/>
        <v/>
      </c>
      <c r="F691" s="170"/>
      <c r="G691" s="170"/>
      <c r="H691" s="170"/>
      <c r="I691" s="170"/>
      <c r="J691" s="170"/>
      <c r="K691" s="170"/>
      <c r="L691" s="170"/>
      <c r="M691" s="170"/>
      <c r="N691" s="170"/>
      <c r="O691" s="201"/>
    </row>
    <row r="692" spans="1:15" s="139" customFormat="1" ht="15.75">
      <c r="A692" s="205" t="str">
        <f>IF(ISNA(VLOOKUP(D692,'Standard Smelter Names'!$B$3:$E$153,4,FALSE)),"",VLOOKUP(D692,'Standard Smelter Names'!$B$3:$E$153,4,FALSE))</f>
        <v/>
      </c>
      <c r="B692" s="170"/>
      <c r="C692" s="184"/>
      <c r="D692" s="184" t="str">
        <f t="shared" si="20"/>
        <v/>
      </c>
      <c r="E692" s="170" t="str">
        <f t="shared" si="21"/>
        <v/>
      </c>
      <c r="F692" s="170"/>
      <c r="G692" s="170"/>
      <c r="H692" s="170"/>
      <c r="I692" s="170"/>
      <c r="J692" s="170"/>
      <c r="K692" s="170"/>
      <c r="L692" s="170"/>
      <c r="M692" s="170"/>
      <c r="N692" s="170"/>
      <c r="O692" s="201"/>
    </row>
    <row r="693" spans="1:15" s="139" customFormat="1" ht="15.75">
      <c r="A693" s="205" t="str">
        <f>IF(ISNA(VLOOKUP(D693,'Standard Smelter Names'!$B$3:$E$153,4,FALSE)),"",VLOOKUP(D693,'Standard Smelter Names'!$B$3:$E$153,4,FALSE))</f>
        <v/>
      </c>
      <c r="B693" s="170"/>
      <c r="C693" s="184"/>
      <c r="D693" s="184" t="str">
        <f t="shared" si="20"/>
        <v/>
      </c>
      <c r="E693" s="170" t="str">
        <f t="shared" si="21"/>
        <v/>
      </c>
      <c r="F693" s="170"/>
      <c r="G693" s="170"/>
      <c r="H693" s="170"/>
      <c r="I693" s="170"/>
      <c r="J693" s="170"/>
      <c r="K693" s="170"/>
      <c r="L693" s="170"/>
      <c r="M693" s="170"/>
      <c r="N693" s="170"/>
      <c r="O693" s="201"/>
    </row>
    <row r="694" spans="1:15" s="139" customFormat="1" ht="15.75">
      <c r="A694" s="205" t="str">
        <f>IF(ISNA(VLOOKUP(D694,'Standard Smelter Names'!$B$3:$E$153,4,FALSE)),"",VLOOKUP(D694,'Standard Smelter Names'!$B$3:$E$153,4,FALSE))</f>
        <v/>
      </c>
      <c r="B694" s="170"/>
      <c r="C694" s="184"/>
      <c r="D694" s="184" t="str">
        <f t="shared" si="20"/>
        <v/>
      </c>
      <c r="E694" s="170" t="str">
        <f t="shared" si="21"/>
        <v/>
      </c>
      <c r="F694" s="170"/>
      <c r="G694" s="170"/>
      <c r="H694" s="170"/>
      <c r="I694" s="170"/>
      <c r="J694" s="170"/>
      <c r="K694" s="170"/>
      <c r="L694" s="170"/>
      <c r="M694" s="170"/>
      <c r="N694" s="170"/>
      <c r="O694" s="201"/>
    </row>
    <row r="695" spans="1:15" s="139" customFormat="1" ht="15.75">
      <c r="A695" s="205" t="str">
        <f>IF(ISNA(VLOOKUP(D695,'Standard Smelter Names'!$B$3:$E$153,4,FALSE)),"",VLOOKUP(D695,'Standard Smelter Names'!$B$3:$E$153,4,FALSE))</f>
        <v/>
      </c>
      <c r="B695" s="170"/>
      <c r="C695" s="184"/>
      <c r="D695" s="184" t="str">
        <f t="shared" si="20"/>
        <v/>
      </c>
      <c r="E695" s="170" t="str">
        <f t="shared" si="21"/>
        <v/>
      </c>
      <c r="F695" s="170"/>
      <c r="G695" s="170"/>
      <c r="H695" s="170"/>
      <c r="I695" s="170"/>
      <c r="J695" s="170"/>
      <c r="K695" s="170"/>
      <c r="L695" s="170"/>
      <c r="M695" s="170"/>
      <c r="N695" s="170"/>
      <c r="O695" s="201"/>
    </row>
    <row r="696" spans="1:15" s="139" customFormat="1" ht="15.75">
      <c r="A696" s="205" t="str">
        <f>IF(ISNA(VLOOKUP(D696,'Standard Smelter Names'!$B$3:$E$153,4,FALSE)),"",VLOOKUP(D696,'Standard Smelter Names'!$B$3:$E$153,4,FALSE))</f>
        <v/>
      </c>
      <c r="B696" s="170"/>
      <c r="C696" s="184"/>
      <c r="D696" s="184" t="str">
        <f t="shared" si="20"/>
        <v/>
      </c>
      <c r="E696" s="170" t="str">
        <f t="shared" si="21"/>
        <v/>
      </c>
      <c r="F696" s="170"/>
      <c r="G696" s="170"/>
      <c r="H696" s="170"/>
      <c r="I696" s="170"/>
      <c r="J696" s="170"/>
      <c r="K696" s="170"/>
      <c r="L696" s="170"/>
      <c r="M696" s="170"/>
      <c r="N696" s="170"/>
      <c r="O696" s="201"/>
    </row>
    <row r="697" spans="1:15" s="139" customFormat="1" ht="15.75">
      <c r="A697" s="205" t="str">
        <f>IF(ISNA(VLOOKUP(D697,'Standard Smelter Names'!$B$3:$E$153,4,FALSE)),"",VLOOKUP(D697,'Standard Smelter Names'!$B$3:$E$153,4,FALSE))</f>
        <v/>
      </c>
      <c r="B697" s="170"/>
      <c r="C697" s="184"/>
      <c r="D697" s="184" t="str">
        <f t="shared" si="20"/>
        <v/>
      </c>
      <c r="E697" s="170" t="str">
        <f t="shared" si="21"/>
        <v/>
      </c>
      <c r="F697" s="170"/>
      <c r="G697" s="170"/>
      <c r="H697" s="170"/>
      <c r="I697" s="170"/>
      <c r="J697" s="170"/>
      <c r="K697" s="170"/>
      <c r="L697" s="170"/>
      <c r="M697" s="170"/>
      <c r="N697" s="170"/>
      <c r="O697" s="201"/>
    </row>
    <row r="698" spans="1:15" s="139" customFormat="1" ht="15.75">
      <c r="A698" s="205" t="str">
        <f>IF(ISNA(VLOOKUP(D698,'Standard Smelter Names'!$B$3:$E$153,4,FALSE)),"",VLOOKUP(D698,'Standard Smelter Names'!$B$3:$E$153,4,FALSE))</f>
        <v/>
      </c>
      <c r="B698" s="170"/>
      <c r="C698" s="184"/>
      <c r="D698" s="184" t="str">
        <f t="shared" si="20"/>
        <v/>
      </c>
      <c r="E698" s="170" t="str">
        <f t="shared" si="21"/>
        <v/>
      </c>
      <c r="F698" s="170"/>
      <c r="G698" s="170"/>
      <c r="H698" s="170"/>
      <c r="I698" s="170"/>
      <c r="J698" s="170"/>
      <c r="K698" s="170"/>
      <c r="L698" s="170"/>
      <c r="M698" s="170"/>
      <c r="N698" s="170"/>
      <c r="O698" s="201"/>
    </row>
    <row r="699" spans="1:15" s="139" customFormat="1" ht="15.75">
      <c r="A699" s="205" t="str">
        <f>IF(ISNA(VLOOKUP(D699,'Standard Smelter Names'!$B$3:$E$153,4,FALSE)),"",VLOOKUP(D699,'Standard Smelter Names'!$B$3:$E$153,4,FALSE))</f>
        <v/>
      </c>
      <c r="B699" s="170"/>
      <c r="C699" s="184"/>
      <c r="D699" s="184" t="str">
        <f t="shared" si="20"/>
        <v/>
      </c>
      <c r="E699" s="170" t="str">
        <f t="shared" si="21"/>
        <v/>
      </c>
      <c r="F699" s="170"/>
      <c r="G699" s="170"/>
      <c r="H699" s="170"/>
      <c r="I699" s="170"/>
      <c r="J699" s="170"/>
      <c r="K699" s="170"/>
      <c r="L699" s="170"/>
      <c r="M699" s="170"/>
      <c r="N699" s="170"/>
      <c r="O699" s="201"/>
    </row>
    <row r="700" spans="1:15" s="139" customFormat="1" ht="15.75">
      <c r="A700" s="205" t="str">
        <f>IF(ISNA(VLOOKUP(D700,'Standard Smelter Names'!$B$3:$E$153,4,FALSE)),"",VLOOKUP(D700,'Standard Smelter Names'!$B$3:$E$153,4,FALSE))</f>
        <v/>
      </c>
      <c r="B700" s="170"/>
      <c r="C700" s="184"/>
      <c r="D700" s="184" t="str">
        <f t="shared" si="20"/>
        <v/>
      </c>
      <c r="E700" s="170" t="str">
        <f t="shared" si="21"/>
        <v/>
      </c>
      <c r="F700" s="170"/>
      <c r="G700" s="170"/>
      <c r="H700" s="170"/>
      <c r="I700" s="170"/>
      <c r="J700" s="170"/>
      <c r="K700" s="170"/>
      <c r="L700" s="170"/>
      <c r="M700" s="170"/>
      <c r="N700" s="170"/>
      <c r="O700" s="201"/>
    </row>
    <row r="701" spans="1:15" s="139" customFormat="1" ht="15.75">
      <c r="A701" s="205" t="str">
        <f>IF(ISNA(VLOOKUP(D701,'Standard Smelter Names'!$B$3:$E$153,4,FALSE)),"",VLOOKUP(D701,'Standard Smelter Names'!$B$3:$E$153,4,FALSE))</f>
        <v/>
      </c>
      <c r="B701" s="170"/>
      <c r="C701" s="184"/>
      <c r="D701" s="184" t="str">
        <f t="shared" si="20"/>
        <v/>
      </c>
      <c r="E701" s="170" t="str">
        <f t="shared" si="21"/>
        <v/>
      </c>
      <c r="F701" s="170"/>
      <c r="G701" s="170"/>
      <c r="H701" s="170"/>
      <c r="I701" s="170"/>
      <c r="J701" s="170"/>
      <c r="K701" s="170"/>
      <c r="L701" s="170"/>
      <c r="M701" s="170"/>
      <c r="N701" s="170"/>
      <c r="O701" s="201"/>
    </row>
    <row r="702" spans="1:15" s="139" customFormat="1" ht="15.75">
      <c r="A702" s="205" t="str">
        <f>IF(ISNA(VLOOKUP(D702,'Standard Smelter Names'!$B$3:$E$153,4,FALSE)),"",VLOOKUP(D702,'Standard Smelter Names'!$B$3:$E$153,4,FALSE))</f>
        <v/>
      </c>
      <c r="B702" s="170"/>
      <c r="C702" s="184"/>
      <c r="D702" s="184" t="str">
        <f t="shared" si="20"/>
        <v/>
      </c>
      <c r="E702" s="170" t="str">
        <f t="shared" si="21"/>
        <v/>
      </c>
      <c r="F702" s="170"/>
      <c r="G702" s="170"/>
      <c r="H702" s="170"/>
      <c r="I702" s="170"/>
      <c r="J702" s="170"/>
      <c r="K702" s="170"/>
      <c r="L702" s="170"/>
      <c r="M702" s="170"/>
      <c r="N702" s="170"/>
      <c r="O702" s="201"/>
    </row>
    <row r="703" spans="1:15" s="139" customFormat="1" ht="15.75">
      <c r="A703" s="205" t="str">
        <f>IF(ISNA(VLOOKUP(D703,'Standard Smelter Names'!$B$3:$E$153,4,FALSE)),"",VLOOKUP(D703,'Standard Smelter Names'!$B$3:$E$153,4,FALSE))</f>
        <v/>
      </c>
      <c r="B703" s="170"/>
      <c r="C703" s="184"/>
      <c r="D703" s="184" t="str">
        <f t="shared" si="20"/>
        <v/>
      </c>
      <c r="E703" s="170" t="str">
        <f t="shared" si="21"/>
        <v/>
      </c>
      <c r="F703" s="170"/>
      <c r="G703" s="170"/>
      <c r="H703" s="170"/>
      <c r="I703" s="170"/>
      <c r="J703" s="170"/>
      <c r="K703" s="170"/>
      <c r="L703" s="170"/>
      <c r="M703" s="170"/>
      <c r="N703" s="170"/>
      <c r="O703" s="201"/>
    </row>
    <row r="704" spans="1:15" s="139" customFormat="1" ht="15.75">
      <c r="A704" s="205" t="str">
        <f>IF(ISNA(VLOOKUP(D704,'Standard Smelter Names'!$B$3:$E$153,4,FALSE)),"",VLOOKUP(D704,'Standard Smelter Names'!$B$3:$E$153,4,FALSE))</f>
        <v/>
      </c>
      <c r="B704" s="170"/>
      <c r="C704" s="184"/>
      <c r="D704" s="184" t="str">
        <f t="shared" si="20"/>
        <v/>
      </c>
      <c r="E704" s="170" t="str">
        <f t="shared" si="21"/>
        <v/>
      </c>
      <c r="F704" s="170"/>
      <c r="G704" s="170"/>
      <c r="H704" s="170"/>
      <c r="I704" s="170"/>
      <c r="J704" s="170"/>
      <c r="K704" s="170"/>
      <c r="L704" s="170"/>
      <c r="M704" s="170"/>
      <c r="N704" s="170"/>
      <c r="O704" s="201"/>
    </row>
    <row r="705" spans="1:15" s="139" customFormat="1" ht="15.75">
      <c r="A705" s="205" t="str">
        <f>IF(ISNA(VLOOKUP(D705,'Standard Smelter Names'!$B$3:$E$153,4,FALSE)),"",VLOOKUP(D705,'Standard Smelter Names'!$B$3:$E$153,4,FALSE))</f>
        <v/>
      </c>
      <c r="B705" s="170"/>
      <c r="C705" s="184"/>
      <c r="D705" s="184" t="str">
        <f t="shared" si="20"/>
        <v/>
      </c>
      <c r="E705" s="170" t="str">
        <f t="shared" si="21"/>
        <v/>
      </c>
      <c r="F705" s="170"/>
      <c r="G705" s="170"/>
      <c r="H705" s="170"/>
      <c r="I705" s="170"/>
      <c r="J705" s="170"/>
      <c r="K705" s="170"/>
      <c r="L705" s="170"/>
      <c r="M705" s="170"/>
      <c r="N705" s="170"/>
      <c r="O705" s="201"/>
    </row>
    <row r="706" spans="1:15" s="139" customFormat="1" ht="15.75">
      <c r="A706" s="205" t="str">
        <f>IF(ISNA(VLOOKUP(D706,'Standard Smelter Names'!$B$3:$E$153,4,FALSE)),"",VLOOKUP(D706,'Standard Smelter Names'!$B$3:$E$153,4,FALSE))</f>
        <v/>
      </c>
      <c r="B706" s="170"/>
      <c r="C706" s="184"/>
      <c r="D706" s="184" t="str">
        <f t="shared" si="20"/>
        <v/>
      </c>
      <c r="E706" s="170" t="str">
        <f t="shared" si="21"/>
        <v/>
      </c>
      <c r="F706" s="170"/>
      <c r="G706" s="170"/>
      <c r="H706" s="170"/>
      <c r="I706" s="170"/>
      <c r="J706" s="170"/>
      <c r="K706" s="170"/>
      <c r="L706" s="170"/>
      <c r="M706" s="170"/>
      <c r="N706" s="170"/>
      <c r="O706" s="201"/>
    </row>
    <row r="707" spans="1:15" s="139" customFormat="1" ht="15.75">
      <c r="A707" s="205" t="str">
        <f>IF(ISNA(VLOOKUP(D707,'Standard Smelter Names'!$B$3:$E$153,4,FALSE)),"",VLOOKUP(D707,'Standard Smelter Names'!$B$3:$E$153,4,FALSE))</f>
        <v/>
      </c>
      <c r="B707" s="170"/>
      <c r="C707" s="184"/>
      <c r="D707" s="184" t="str">
        <f t="shared" si="20"/>
        <v/>
      </c>
      <c r="E707" s="170" t="str">
        <f t="shared" si="21"/>
        <v/>
      </c>
      <c r="F707" s="170"/>
      <c r="G707" s="170"/>
      <c r="H707" s="170"/>
      <c r="I707" s="170"/>
      <c r="J707" s="170"/>
      <c r="K707" s="170"/>
      <c r="L707" s="170"/>
      <c r="M707" s="170"/>
      <c r="N707" s="170"/>
      <c r="O707" s="201"/>
    </row>
    <row r="708" spans="1:15" s="139" customFormat="1" ht="15.75">
      <c r="A708" s="205" t="str">
        <f>IF(ISNA(VLOOKUP(D708,'Standard Smelter Names'!$B$3:$E$153,4,FALSE)),"",VLOOKUP(D708,'Standard Smelter Names'!$B$3:$E$153,4,FALSE))</f>
        <v/>
      </c>
      <c r="B708" s="170"/>
      <c r="C708" s="184"/>
      <c r="D708" s="184" t="str">
        <f t="shared" si="20"/>
        <v/>
      </c>
      <c r="E708" s="170" t="str">
        <f t="shared" si="21"/>
        <v/>
      </c>
      <c r="F708" s="170"/>
      <c r="G708" s="170"/>
      <c r="H708" s="170"/>
      <c r="I708" s="170"/>
      <c r="J708" s="170"/>
      <c r="K708" s="170"/>
      <c r="L708" s="170"/>
      <c r="M708" s="170"/>
      <c r="N708" s="170"/>
      <c r="O708" s="201"/>
    </row>
    <row r="709" spans="1:15" s="139" customFormat="1" ht="15.75">
      <c r="A709" s="205" t="str">
        <f>IF(ISNA(VLOOKUP(D709,'Standard Smelter Names'!$B$3:$E$153,4,FALSE)),"",VLOOKUP(D709,'Standard Smelter Names'!$B$3:$E$153,4,FALSE))</f>
        <v/>
      </c>
      <c r="B709" s="170"/>
      <c r="C709" s="184"/>
      <c r="D709" s="184" t="str">
        <f t="shared" ref="D709:D772" si="22">IF(ISNA(VLOOKUP(C709,$G$1023:$I$1309,3,FALSE)),"",VLOOKUP(C709,$G$1023:$I$1309,3,FALSE))</f>
        <v/>
      </c>
      <c r="E709" s="170" t="str">
        <f t="shared" ref="E709:E772" si="23">IF(ISNA(VLOOKUP(C709,$G$1023:$I$1309,2,FALSE)),"",VLOOKUP(C709,$G$1023:$I$1309,2,FALSE))</f>
        <v/>
      </c>
      <c r="F709" s="170"/>
      <c r="G709" s="170"/>
      <c r="H709" s="170"/>
      <c r="I709" s="170"/>
      <c r="J709" s="170"/>
      <c r="K709" s="170"/>
      <c r="L709" s="170"/>
      <c r="M709" s="170"/>
      <c r="N709" s="170"/>
      <c r="O709" s="201"/>
    </row>
    <row r="710" spans="1:15" s="139" customFormat="1" ht="15.75">
      <c r="A710" s="205" t="str">
        <f>IF(ISNA(VLOOKUP(D710,'Standard Smelter Names'!$B$3:$E$153,4,FALSE)),"",VLOOKUP(D710,'Standard Smelter Names'!$B$3:$E$153,4,FALSE))</f>
        <v/>
      </c>
      <c r="B710" s="170"/>
      <c r="C710" s="184"/>
      <c r="D710" s="184" t="str">
        <f t="shared" si="22"/>
        <v/>
      </c>
      <c r="E710" s="170" t="str">
        <f t="shared" si="23"/>
        <v/>
      </c>
      <c r="F710" s="170"/>
      <c r="G710" s="170"/>
      <c r="H710" s="170"/>
      <c r="I710" s="170"/>
      <c r="J710" s="170"/>
      <c r="K710" s="170"/>
      <c r="L710" s="170"/>
      <c r="M710" s="170"/>
      <c r="N710" s="170"/>
      <c r="O710" s="201"/>
    </row>
    <row r="711" spans="1:15" s="139" customFormat="1" ht="15.75">
      <c r="A711" s="205" t="str">
        <f>IF(ISNA(VLOOKUP(D711,'Standard Smelter Names'!$B$3:$E$153,4,FALSE)),"",VLOOKUP(D711,'Standard Smelter Names'!$B$3:$E$153,4,FALSE))</f>
        <v/>
      </c>
      <c r="B711" s="170"/>
      <c r="C711" s="184"/>
      <c r="D711" s="184" t="str">
        <f t="shared" si="22"/>
        <v/>
      </c>
      <c r="E711" s="170" t="str">
        <f t="shared" si="23"/>
        <v/>
      </c>
      <c r="F711" s="170"/>
      <c r="G711" s="170"/>
      <c r="H711" s="170"/>
      <c r="I711" s="170"/>
      <c r="J711" s="170"/>
      <c r="K711" s="170"/>
      <c r="L711" s="170"/>
      <c r="M711" s="170"/>
      <c r="N711" s="170"/>
      <c r="O711" s="201"/>
    </row>
    <row r="712" spans="1:15" s="139" customFormat="1" ht="15.75">
      <c r="A712" s="205" t="str">
        <f>IF(ISNA(VLOOKUP(D712,'Standard Smelter Names'!$B$3:$E$153,4,FALSE)),"",VLOOKUP(D712,'Standard Smelter Names'!$B$3:$E$153,4,FALSE))</f>
        <v/>
      </c>
      <c r="B712" s="170"/>
      <c r="C712" s="184"/>
      <c r="D712" s="184" t="str">
        <f t="shared" si="22"/>
        <v/>
      </c>
      <c r="E712" s="170" t="str">
        <f t="shared" si="23"/>
        <v/>
      </c>
      <c r="F712" s="170"/>
      <c r="G712" s="170"/>
      <c r="H712" s="170"/>
      <c r="I712" s="170"/>
      <c r="J712" s="170"/>
      <c r="K712" s="170"/>
      <c r="L712" s="170"/>
      <c r="M712" s="170"/>
      <c r="N712" s="170"/>
      <c r="O712" s="201"/>
    </row>
    <row r="713" spans="1:15" s="139" customFormat="1" ht="15.75">
      <c r="A713" s="205" t="str">
        <f>IF(ISNA(VLOOKUP(D713,'Standard Smelter Names'!$B$3:$E$153,4,FALSE)),"",VLOOKUP(D713,'Standard Smelter Names'!$B$3:$E$153,4,FALSE))</f>
        <v/>
      </c>
      <c r="B713" s="170"/>
      <c r="C713" s="184"/>
      <c r="D713" s="184" t="str">
        <f t="shared" si="22"/>
        <v/>
      </c>
      <c r="E713" s="170" t="str">
        <f t="shared" si="23"/>
        <v/>
      </c>
      <c r="F713" s="170"/>
      <c r="G713" s="170"/>
      <c r="H713" s="170"/>
      <c r="I713" s="170"/>
      <c r="J713" s="170"/>
      <c r="K713" s="170"/>
      <c r="L713" s="170"/>
      <c r="M713" s="170"/>
      <c r="N713" s="170"/>
      <c r="O713" s="201"/>
    </row>
    <row r="714" spans="1:15" s="139" customFormat="1" ht="15.75">
      <c r="A714" s="205" t="str">
        <f>IF(ISNA(VLOOKUP(D714,'Standard Smelter Names'!$B$3:$E$153,4,FALSE)),"",VLOOKUP(D714,'Standard Smelter Names'!$B$3:$E$153,4,FALSE))</f>
        <v/>
      </c>
      <c r="B714" s="170"/>
      <c r="C714" s="184"/>
      <c r="D714" s="184" t="str">
        <f t="shared" si="22"/>
        <v/>
      </c>
      <c r="E714" s="170" t="str">
        <f t="shared" si="23"/>
        <v/>
      </c>
      <c r="F714" s="170"/>
      <c r="G714" s="170"/>
      <c r="H714" s="170"/>
      <c r="I714" s="170"/>
      <c r="J714" s="170"/>
      <c r="K714" s="170"/>
      <c r="L714" s="170"/>
      <c r="M714" s="170"/>
      <c r="N714" s="170"/>
      <c r="O714" s="201"/>
    </row>
    <row r="715" spans="1:15" s="139" customFormat="1" ht="15.75">
      <c r="A715" s="205" t="str">
        <f>IF(ISNA(VLOOKUP(D715,'Standard Smelter Names'!$B$3:$E$153,4,FALSE)),"",VLOOKUP(D715,'Standard Smelter Names'!$B$3:$E$153,4,FALSE))</f>
        <v/>
      </c>
      <c r="B715" s="170"/>
      <c r="C715" s="184"/>
      <c r="D715" s="184" t="str">
        <f t="shared" si="22"/>
        <v/>
      </c>
      <c r="E715" s="170" t="str">
        <f t="shared" si="23"/>
        <v/>
      </c>
      <c r="F715" s="170"/>
      <c r="G715" s="170"/>
      <c r="H715" s="170"/>
      <c r="I715" s="170"/>
      <c r="J715" s="170"/>
      <c r="K715" s="170"/>
      <c r="L715" s="170"/>
      <c r="M715" s="170"/>
      <c r="N715" s="170"/>
      <c r="O715" s="201"/>
    </row>
    <row r="716" spans="1:15" s="139" customFormat="1" ht="15.75">
      <c r="A716" s="205" t="str">
        <f>IF(ISNA(VLOOKUP(D716,'Standard Smelter Names'!$B$3:$E$153,4,FALSE)),"",VLOOKUP(D716,'Standard Smelter Names'!$B$3:$E$153,4,FALSE))</f>
        <v/>
      </c>
      <c r="B716" s="170"/>
      <c r="C716" s="184"/>
      <c r="D716" s="184" t="str">
        <f t="shared" si="22"/>
        <v/>
      </c>
      <c r="E716" s="170" t="str">
        <f t="shared" si="23"/>
        <v/>
      </c>
      <c r="F716" s="170"/>
      <c r="G716" s="170"/>
      <c r="H716" s="170"/>
      <c r="I716" s="170"/>
      <c r="J716" s="170"/>
      <c r="K716" s="170"/>
      <c r="L716" s="170"/>
      <c r="M716" s="170"/>
      <c r="N716" s="170"/>
      <c r="O716" s="201"/>
    </row>
    <row r="717" spans="1:15" s="139" customFormat="1" ht="15.75">
      <c r="A717" s="205" t="str">
        <f>IF(ISNA(VLOOKUP(D717,'Standard Smelter Names'!$B$3:$E$153,4,FALSE)),"",VLOOKUP(D717,'Standard Smelter Names'!$B$3:$E$153,4,FALSE))</f>
        <v/>
      </c>
      <c r="B717" s="170"/>
      <c r="C717" s="184"/>
      <c r="D717" s="184" t="str">
        <f t="shared" si="22"/>
        <v/>
      </c>
      <c r="E717" s="170" t="str">
        <f t="shared" si="23"/>
        <v/>
      </c>
      <c r="F717" s="170"/>
      <c r="G717" s="170"/>
      <c r="H717" s="170"/>
      <c r="I717" s="170"/>
      <c r="J717" s="170"/>
      <c r="K717" s="170"/>
      <c r="L717" s="170"/>
      <c r="M717" s="170"/>
      <c r="N717" s="170"/>
      <c r="O717" s="201"/>
    </row>
    <row r="718" spans="1:15" s="139" customFormat="1" ht="15.75">
      <c r="A718" s="205" t="str">
        <f>IF(ISNA(VLOOKUP(D718,'Standard Smelter Names'!$B$3:$E$153,4,FALSE)),"",VLOOKUP(D718,'Standard Smelter Names'!$B$3:$E$153,4,FALSE))</f>
        <v/>
      </c>
      <c r="B718" s="170"/>
      <c r="C718" s="184"/>
      <c r="D718" s="184" t="str">
        <f t="shared" si="22"/>
        <v/>
      </c>
      <c r="E718" s="170" t="str">
        <f t="shared" si="23"/>
        <v/>
      </c>
      <c r="F718" s="170"/>
      <c r="G718" s="170"/>
      <c r="H718" s="170"/>
      <c r="I718" s="170"/>
      <c r="J718" s="170"/>
      <c r="K718" s="170"/>
      <c r="L718" s="170"/>
      <c r="M718" s="170"/>
      <c r="N718" s="170"/>
      <c r="O718" s="201"/>
    </row>
    <row r="719" spans="1:15" s="139" customFormat="1" ht="15.75">
      <c r="A719" s="205" t="str">
        <f>IF(ISNA(VLOOKUP(D719,'Standard Smelter Names'!$B$3:$E$153,4,FALSE)),"",VLOOKUP(D719,'Standard Smelter Names'!$B$3:$E$153,4,FALSE))</f>
        <v/>
      </c>
      <c r="B719" s="170"/>
      <c r="C719" s="184"/>
      <c r="D719" s="184" t="str">
        <f t="shared" si="22"/>
        <v/>
      </c>
      <c r="E719" s="170" t="str">
        <f t="shared" si="23"/>
        <v/>
      </c>
      <c r="F719" s="170"/>
      <c r="G719" s="170"/>
      <c r="H719" s="170"/>
      <c r="I719" s="170"/>
      <c r="J719" s="170"/>
      <c r="K719" s="170"/>
      <c r="L719" s="170"/>
      <c r="M719" s="170"/>
      <c r="N719" s="170"/>
      <c r="O719" s="201"/>
    </row>
    <row r="720" spans="1:15" s="139" customFormat="1" ht="15.75">
      <c r="A720" s="205" t="str">
        <f>IF(ISNA(VLOOKUP(D720,'Standard Smelter Names'!$B$3:$E$153,4,FALSE)),"",VLOOKUP(D720,'Standard Smelter Names'!$B$3:$E$153,4,FALSE))</f>
        <v/>
      </c>
      <c r="B720" s="170"/>
      <c r="C720" s="184"/>
      <c r="D720" s="184" t="str">
        <f t="shared" si="22"/>
        <v/>
      </c>
      <c r="E720" s="170" t="str">
        <f t="shared" si="23"/>
        <v/>
      </c>
      <c r="F720" s="170"/>
      <c r="G720" s="170"/>
      <c r="H720" s="170"/>
      <c r="I720" s="170"/>
      <c r="J720" s="170"/>
      <c r="K720" s="170"/>
      <c r="L720" s="170"/>
      <c r="M720" s="170"/>
      <c r="N720" s="170"/>
      <c r="O720" s="201"/>
    </row>
    <row r="721" spans="1:15" s="139" customFormat="1" ht="15.75">
      <c r="A721" s="205" t="str">
        <f>IF(ISNA(VLOOKUP(D721,'Standard Smelter Names'!$B$3:$E$153,4,FALSE)),"",VLOOKUP(D721,'Standard Smelter Names'!$B$3:$E$153,4,FALSE))</f>
        <v/>
      </c>
      <c r="B721" s="170"/>
      <c r="C721" s="184"/>
      <c r="D721" s="184" t="str">
        <f t="shared" si="22"/>
        <v/>
      </c>
      <c r="E721" s="170" t="str">
        <f t="shared" si="23"/>
        <v/>
      </c>
      <c r="F721" s="170"/>
      <c r="G721" s="170"/>
      <c r="H721" s="170"/>
      <c r="I721" s="170"/>
      <c r="J721" s="170"/>
      <c r="K721" s="170"/>
      <c r="L721" s="170"/>
      <c r="M721" s="170"/>
      <c r="N721" s="170"/>
      <c r="O721" s="201"/>
    </row>
    <row r="722" spans="1:15" s="139" customFormat="1" ht="15.75">
      <c r="A722" s="205" t="str">
        <f>IF(ISNA(VLOOKUP(D722,'Standard Smelter Names'!$B$3:$E$153,4,FALSE)),"",VLOOKUP(D722,'Standard Smelter Names'!$B$3:$E$153,4,FALSE))</f>
        <v/>
      </c>
      <c r="B722" s="170"/>
      <c r="C722" s="184"/>
      <c r="D722" s="184" t="str">
        <f t="shared" si="22"/>
        <v/>
      </c>
      <c r="E722" s="170" t="str">
        <f t="shared" si="23"/>
        <v/>
      </c>
      <c r="F722" s="170"/>
      <c r="G722" s="170"/>
      <c r="H722" s="170"/>
      <c r="I722" s="170"/>
      <c r="J722" s="170"/>
      <c r="K722" s="170"/>
      <c r="L722" s="170"/>
      <c r="M722" s="170"/>
      <c r="N722" s="170"/>
      <c r="O722" s="201"/>
    </row>
    <row r="723" spans="1:15" s="139" customFormat="1" ht="15.75">
      <c r="A723" s="205" t="str">
        <f>IF(ISNA(VLOOKUP(D723,'Standard Smelter Names'!$B$3:$E$153,4,FALSE)),"",VLOOKUP(D723,'Standard Smelter Names'!$B$3:$E$153,4,FALSE))</f>
        <v/>
      </c>
      <c r="B723" s="170"/>
      <c r="C723" s="184"/>
      <c r="D723" s="184" t="str">
        <f t="shared" si="22"/>
        <v/>
      </c>
      <c r="E723" s="170" t="str">
        <f t="shared" si="23"/>
        <v/>
      </c>
      <c r="F723" s="170"/>
      <c r="G723" s="170"/>
      <c r="H723" s="170"/>
      <c r="I723" s="170"/>
      <c r="J723" s="170"/>
      <c r="K723" s="170"/>
      <c r="L723" s="170"/>
      <c r="M723" s="170"/>
      <c r="N723" s="170"/>
      <c r="O723" s="201"/>
    </row>
    <row r="724" spans="1:15" s="139" customFormat="1" ht="15.75">
      <c r="A724" s="205" t="str">
        <f>IF(ISNA(VLOOKUP(D724,'Standard Smelter Names'!$B$3:$E$153,4,FALSE)),"",VLOOKUP(D724,'Standard Smelter Names'!$B$3:$E$153,4,FALSE))</f>
        <v/>
      </c>
      <c r="B724" s="170"/>
      <c r="C724" s="184"/>
      <c r="D724" s="184" t="str">
        <f t="shared" si="22"/>
        <v/>
      </c>
      <c r="E724" s="170" t="str">
        <f t="shared" si="23"/>
        <v/>
      </c>
      <c r="F724" s="170"/>
      <c r="G724" s="170"/>
      <c r="H724" s="170"/>
      <c r="I724" s="170"/>
      <c r="J724" s="170"/>
      <c r="K724" s="170"/>
      <c r="L724" s="170"/>
      <c r="M724" s="170"/>
      <c r="N724" s="170"/>
      <c r="O724" s="201"/>
    </row>
    <row r="725" spans="1:15" s="139" customFormat="1" ht="15.75">
      <c r="A725" s="205" t="str">
        <f>IF(ISNA(VLOOKUP(D725,'Standard Smelter Names'!$B$3:$E$153,4,FALSE)),"",VLOOKUP(D725,'Standard Smelter Names'!$B$3:$E$153,4,FALSE))</f>
        <v/>
      </c>
      <c r="B725" s="170"/>
      <c r="C725" s="184"/>
      <c r="D725" s="184" t="str">
        <f t="shared" si="22"/>
        <v/>
      </c>
      <c r="E725" s="170" t="str">
        <f t="shared" si="23"/>
        <v/>
      </c>
      <c r="F725" s="170"/>
      <c r="G725" s="170"/>
      <c r="H725" s="170"/>
      <c r="I725" s="170"/>
      <c r="J725" s="170"/>
      <c r="K725" s="170"/>
      <c r="L725" s="170"/>
      <c r="M725" s="170"/>
      <c r="N725" s="170"/>
      <c r="O725" s="201"/>
    </row>
    <row r="726" spans="1:15" s="139" customFormat="1" ht="15.75">
      <c r="A726" s="205" t="str">
        <f>IF(ISNA(VLOOKUP(D726,'Standard Smelter Names'!$B$3:$E$153,4,FALSE)),"",VLOOKUP(D726,'Standard Smelter Names'!$B$3:$E$153,4,FALSE))</f>
        <v/>
      </c>
      <c r="B726" s="170"/>
      <c r="C726" s="184"/>
      <c r="D726" s="184" t="str">
        <f t="shared" si="22"/>
        <v/>
      </c>
      <c r="E726" s="170" t="str">
        <f t="shared" si="23"/>
        <v/>
      </c>
      <c r="F726" s="170"/>
      <c r="G726" s="170"/>
      <c r="H726" s="170"/>
      <c r="I726" s="170"/>
      <c r="J726" s="170"/>
      <c r="K726" s="170"/>
      <c r="L726" s="170"/>
      <c r="M726" s="170"/>
      <c r="N726" s="170"/>
      <c r="O726" s="201"/>
    </row>
    <row r="727" spans="1:15" s="139" customFormat="1" ht="15.75">
      <c r="A727" s="205" t="str">
        <f>IF(ISNA(VLOOKUP(D727,'Standard Smelter Names'!$B$3:$E$153,4,FALSE)),"",VLOOKUP(D727,'Standard Smelter Names'!$B$3:$E$153,4,FALSE))</f>
        <v/>
      </c>
      <c r="B727" s="170"/>
      <c r="C727" s="184"/>
      <c r="D727" s="184" t="str">
        <f t="shared" si="22"/>
        <v/>
      </c>
      <c r="E727" s="170" t="str">
        <f t="shared" si="23"/>
        <v/>
      </c>
      <c r="F727" s="170"/>
      <c r="G727" s="170"/>
      <c r="H727" s="170"/>
      <c r="I727" s="170"/>
      <c r="J727" s="170"/>
      <c r="K727" s="170"/>
      <c r="L727" s="170"/>
      <c r="M727" s="170"/>
      <c r="N727" s="170"/>
      <c r="O727" s="201"/>
    </row>
    <row r="728" spans="1:15" s="139" customFormat="1" ht="15.75">
      <c r="A728" s="205" t="str">
        <f>IF(ISNA(VLOOKUP(D728,'Standard Smelter Names'!$B$3:$E$153,4,FALSE)),"",VLOOKUP(D728,'Standard Smelter Names'!$B$3:$E$153,4,FALSE))</f>
        <v/>
      </c>
      <c r="B728" s="170"/>
      <c r="C728" s="184"/>
      <c r="D728" s="184" t="str">
        <f t="shared" si="22"/>
        <v/>
      </c>
      <c r="E728" s="170" t="str">
        <f t="shared" si="23"/>
        <v/>
      </c>
      <c r="F728" s="170"/>
      <c r="G728" s="170"/>
      <c r="H728" s="170"/>
      <c r="I728" s="170"/>
      <c r="J728" s="170"/>
      <c r="K728" s="170"/>
      <c r="L728" s="170"/>
      <c r="M728" s="170"/>
      <c r="N728" s="170"/>
      <c r="O728" s="201"/>
    </row>
    <row r="729" spans="1:15" s="139" customFormat="1" ht="15.75">
      <c r="A729" s="205" t="str">
        <f>IF(ISNA(VLOOKUP(D729,'Standard Smelter Names'!$B$3:$E$153,4,FALSE)),"",VLOOKUP(D729,'Standard Smelter Names'!$B$3:$E$153,4,FALSE))</f>
        <v/>
      </c>
      <c r="B729" s="170"/>
      <c r="C729" s="184"/>
      <c r="D729" s="184" t="str">
        <f t="shared" si="22"/>
        <v/>
      </c>
      <c r="E729" s="170" t="str">
        <f t="shared" si="23"/>
        <v/>
      </c>
      <c r="F729" s="170"/>
      <c r="G729" s="170"/>
      <c r="H729" s="170"/>
      <c r="I729" s="170"/>
      <c r="J729" s="170"/>
      <c r="K729" s="170"/>
      <c r="L729" s="170"/>
      <c r="M729" s="170"/>
      <c r="N729" s="170"/>
      <c r="O729" s="201"/>
    </row>
    <row r="730" spans="1:15" s="139" customFormat="1" ht="15.75">
      <c r="A730" s="205" t="str">
        <f>IF(ISNA(VLOOKUP(D730,'Standard Smelter Names'!$B$3:$E$153,4,FALSE)),"",VLOOKUP(D730,'Standard Smelter Names'!$B$3:$E$153,4,FALSE))</f>
        <v/>
      </c>
      <c r="B730" s="170"/>
      <c r="C730" s="184"/>
      <c r="D730" s="184" t="str">
        <f t="shared" si="22"/>
        <v/>
      </c>
      <c r="E730" s="170" t="str">
        <f t="shared" si="23"/>
        <v/>
      </c>
      <c r="F730" s="170"/>
      <c r="G730" s="170"/>
      <c r="H730" s="170"/>
      <c r="I730" s="170"/>
      <c r="J730" s="170"/>
      <c r="K730" s="170"/>
      <c r="L730" s="170"/>
      <c r="M730" s="170"/>
      <c r="N730" s="170"/>
      <c r="O730" s="201"/>
    </row>
    <row r="731" spans="1:15" s="139" customFormat="1" ht="15.75">
      <c r="A731" s="205" t="str">
        <f>IF(ISNA(VLOOKUP(D731,'Standard Smelter Names'!$B$3:$E$153,4,FALSE)),"",VLOOKUP(D731,'Standard Smelter Names'!$B$3:$E$153,4,FALSE))</f>
        <v/>
      </c>
      <c r="B731" s="170"/>
      <c r="C731" s="184"/>
      <c r="D731" s="184" t="str">
        <f t="shared" si="22"/>
        <v/>
      </c>
      <c r="E731" s="170" t="str">
        <f t="shared" si="23"/>
        <v/>
      </c>
      <c r="F731" s="170"/>
      <c r="G731" s="170"/>
      <c r="H731" s="170"/>
      <c r="I731" s="170"/>
      <c r="J731" s="170"/>
      <c r="K731" s="170"/>
      <c r="L731" s="170"/>
      <c r="M731" s="170"/>
      <c r="N731" s="170"/>
      <c r="O731" s="201"/>
    </row>
    <row r="732" spans="1:15" s="139" customFormat="1" ht="15.75">
      <c r="A732" s="205" t="str">
        <f>IF(ISNA(VLOOKUP(D732,'Standard Smelter Names'!$B$3:$E$153,4,FALSE)),"",VLOOKUP(D732,'Standard Smelter Names'!$B$3:$E$153,4,FALSE))</f>
        <v/>
      </c>
      <c r="B732" s="170"/>
      <c r="C732" s="184"/>
      <c r="D732" s="184" t="str">
        <f t="shared" si="22"/>
        <v/>
      </c>
      <c r="E732" s="170" t="str">
        <f t="shared" si="23"/>
        <v/>
      </c>
      <c r="F732" s="170"/>
      <c r="G732" s="170"/>
      <c r="H732" s="170"/>
      <c r="I732" s="170"/>
      <c r="J732" s="170"/>
      <c r="K732" s="170"/>
      <c r="L732" s="170"/>
      <c r="M732" s="170"/>
      <c r="N732" s="170"/>
      <c r="O732" s="201"/>
    </row>
    <row r="733" spans="1:15" s="139" customFormat="1" ht="15.75">
      <c r="A733" s="205" t="str">
        <f>IF(ISNA(VLOOKUP(D733,'Standard Smelter Names'!$B$3:$E$153,4,FALSE)),"",VLOOKUP(D733,'Standard Smelter Names'!$B$3:$E$153,4,FALSE))</f>
        <v/>
      </c>
      <c r="B733" s="170"/>
      <c r="C733" s="184"/>
      <c r="D733" s="184" t="str">
        <f t="shared" si="22"/>
        <v/>
      </c>
      <c r="E733" s="170" t="str">
        <f t="shared" si="23"/>
        <v/>
      </c>
      <c r="F733" s="170"/>
      <c r="G733" s="170"/>
      <c r="H733" s="170"/>
      <c r="I733" s="170"/>
      <c r="J733" s="170"/>
      <c r="K733" s="170"/>
      <c r="L733" s="170"/>
      <c r="M733" s="170"/>
      <c r="N733" s="170"/>
      <c r="O733" s="201"/>
    </row>
    <row r="734" spans="1:15" s="139" customFormat="1" ht="15.75">
      <c r="A734" s="205" t="str">
        <f>IF(ISNA(VLOOKUP(D734,'Standard Smelter Names'!$B$3:$E$153,4,FALSE)),"",VLOOKUP(D734,'Standard Smelter Names'!$B$3:$E$153,4,FALSE))</f>
        <v/>
      </c>
      <c r="B734" s="170"/>
      <c r="C734" s="184"/>
      <c r="D734" s="184" t="str">
        <f t="shared" si="22"/>
        <v/>
      </c>
      <c r="E734" s="170" t="str">
        <f t="shared" si="23"/>
        <v/>
      </c>
      <c r="F734" s="170"/>
      <c r="G734" s="170"/>
      <c r="H734" s="170"/>
      <c r="I734" s="170"/>
      <c r="J734" s="170"/>
      <c r="K734" s="170"/>
      <c r="L734" s="170"/>
      <c r="M734" s="170"/>
      <c r="N734" s="170"/>
      <c r="O734" s="201"/>
    </row>
    <row r="735" spans="1:15" s="139" customFormat="1" ht="15.75">
      <c r="A735" s="205" t="str">
        <f>IF(ISNA(VLOOKUP(D735,'Standard Smelter Names'!$B$3:$E$153,4,FALSE)),"",VLOOKUP(D735,'Standard Smelter Names'!$B$3:$E$153,4,FALSE))</f>
        <v/>
      </c>
      <c r="B735" s="170"/>
      <c r="C735" s="184"/>
      <c r="D735" s="184" t="str">
        <f t="shared" si="22"/>
        <v/>
      </c>
      <c r="E735" s="170" t="str">
        <f t="shared" si="23"/>
        <v/>
      </c>
      <c r="F735" s="170"/>
      <c r="G735" s="170"/>
      <c r="H735" s="170"/>
      <c r="I735" s="170"/>
      <c r="J735" s="170"/>
      <c r="K735" s="170"/>
      <c r="L735" s="170"/>
      <c r="M735" s="170"/>
      <c r="N735" s="170"/>
      <c r="O735" s="201"/>
    </row>
    <row r="736" spans="1:15" s="139" customFormat="1" ht="15.75">
      <c r="A736" s="205" t="str">
        <f>IF(ISNA(VLOOKUP(D736,'Standard Smelter Names'!$B$3:$E$153,4,FALSE)),"",VLOOKUP(D736,'Standard Smelter Names'!$B$3:$E$153,4,FALSE))</f>
        <v/>
      </c>
      <c r="B736" s="170"/>
      <c r="C736" s="184"/>
      <c r="D736" s="184" t="str">
        <f t="shared" si="22"/>
        <v/>
      </c>
      <c r="E736" s="170" t="str">
        <f t="shared" si="23"/>
        <v/>
      </c>
      <c r="F736" s="170"/>
      <c r="G736" s="170"/>
      <c r="H736" s="170"/>
      <c r="I736" s="170"/>
      <c r="J736" s="170"/>
      <c r="K736" s="170"/>
      <c r="L736" s="170"/>
      <c r="M736" s="170"/>
      <c r="N736" s="170"/>
      <c r="O736" s="201"/>
    </row>
    <row r="737" spans="1:15" s="139" customFormat="1" ht="15.75">
      <c r="A737" s="205" t="str">
        <f>IF(ISNA(VLOOKUP(D737,'Standard Smelter Names'!$B$3:$E$153,4,FALSE)),"",VLOOKUP(D737,'Standard Smelter Names'!$B$3:$E$153,4,FALSE))</f>
        <v/>
      </c>
      <c r="B737" s="170"/>
      <c r="C737" s="184"/>
      <c r="D737" s="184" t="str">
        <f t="shared" si="22"/>
        <v/>
      </c>
      <c r="E737" s="170" t="str">
        <f t="shared" si="23"/>
        <v/>
      </c>
      <c r="F737" s="170"/>
      <c r="G737" s="170"/>
      <c r="H737" s="170"/>
      <c r="I737" s="170"/>
      <c r="J737" s="170"/>
      <c r="K737" s="170"/>
      <c r="L737" s="170"/>
      <c r="M737" s="170"/>
      <c r="N737" s="170"/>
      <c r="O737" s="201"/>
    </row>
    <row r="738" spans="1:15" s="139" customFormat="1" ht="15.75">
      <c r="A738" s="205" t="str">
        <f>IF(ISNA(VLOOKUP(D738,'Standard Smelter Names'!$B$3:$E$153,4,FALSE)),"",VLOOKUP(D738,'Standard Smelter Names'!$B$3:$E$153,4,FALSE))</f>
        <v/>
      </c>
      <c r="B738" s="170"/>
      <c r="C738" s="184"/>
      <c r="D738" s="184" t="str">
        <f t="shared" si="22"/>
        <v/>
      </c>
      <c r="E738" s="170" t="str">
        <f t="shared" si="23"/>
        <v/>
      </c>
      <c r="F738" s="170"/>
      <c r="G738" s="170"/>
      <c r="H738" s="170"/>
      <c r="I738" s="170"/>
      <c r="J738" s="170"/>
      <c r="K738" s="170"/>
      <c r="L738" s="170"/>
      <c r="M738" s="170"/>
      <c r="N738" s="170"/>
      <c r="O738" s="201"/>
    </row>
    <row r="739" spans="1:15" s="139" customFormat="1" ht="15.75">
      <c r="A739" s="205" t="str">
        <f>IF(ISNA(VLOOKUP(D739,'Standard Smelter Names'!$B$3:$E$153,4,FALSE)),"",VLOOKUP(D739,'Standard Smelter Names'!$B$3:$E$153,4,FALSE))</f>
        <v/>
      </c>
      <c r="B739" s="170"/>
      <c r="C739" s="184"/>
      <c r="D739" s="184" t="str">
        <f t="shared" si="22"/>
        <v/>
      </c>
      <c r="E739" s="170" t="str">
        <f t="shared" si="23"/>
        <v/>
      </c>
      <c r="F739" s="170"/>
      <c r="G739" s="170"/>
      <c r="H739" s="170"/>
      <c r="I739" s="170"/>
      <c r="J739" s="170"/>
      <c r="K739" s="170"/>
      <c r="L739" s="170"/>
      <c r="M739" s="170"/>
      <c r="N739" s="170"/>
      <c r="O739" s="201"/>
    </row>
    <row r="740" spans="1:15" s="139" customFormat="1" ht="15.75">
      <c r="A740" s="205" t="str">
        <f>IF(ISNA(VLOOKUP(D740,'Standard Smelter Names'!$B$3:$E$153,4,FALSE)),"",VLOOKUP(D740,'Standard Smelter Names'!$B$3:$E$153,4,FALSE))</f>
        <v/>
      </c>
      <c r="B740" s="170"/>
      <c r="C740" s="184"/>
      <c r="D740" s="184" t="str">
        <f t="shared" si="22"/>
        <v/>
      </c>
      <c r="E740" s="170" t="str">
        <f t="shared" si="23"/>
        <v/>
      </c>
      <c r="F740" s="170"/>
      <c r="G740" s="170"/>
      <c r="H740" s="170"/>
      <c r="I740" s="170"/>
      <c r="J740" s="170"/>
      <c r="K740" s="170"/>
      <c r="L740" s="170"/>
      <c r="M740" s="170"/>
      <c r="N740" s="170"/>
      <c r="O740" s="201"/>
    </row>
    <row r="741" spans="1:15" s="139" customFormat="1" ht="15.75">
      <c r="A741" s="205" t="str">
        <f>IF(ISNA(VLOOKUP(D741,'Standard Smelter Names'!$B$3:$E$153,4,FALSE)),"",VLOOKUP(D741,'Standard Smelter Names'!$B$3:$E$153,4,FALSE))</f>
        <v/>
      </c>
      <c r="B741" s="170"/>
      <c r="C741" s="184"/>
      <c r="D741" s="184" t="str">
        <f t="shared" si="22"/>
        <v/>
      </c>
      <c r="E741" s="170" t="str">
        <f t="shared" si="23"/>
        <v/>
      </c>
      <c r="F741" s="170"/>
      <c r="G741" s="170"/>
      <c r="H741" s="170"/>
      <c r="I741" s="170"/>
      <c r="J741" s="170"/>
      <c r="K741" s="170"/>
      <c r="L741" s="170"/>
      <c r="M741" s="170"/>
      <c r="N741" s="170"/>
      <c r="O741" s="201"/>
    </row>
    <row r="742" spans="1:15" s="139" customFormat="1" ht="15.75">
      <c r="A742" s="205" t="str">
        <f>IF(ISNA(VLOOKUP(D742,'Standard Smelter Names'!$B$3:$E$153,4,FALSE)),"",VLOOKUP(D742,'Standard Smelter Names'!$B$3:$E$153,4,FALSE))</f>
        <v/>
      </c>
      <c r="B742" s="170"/>
      <c r="C742" s="184"/>
      <c r="D742" s="184" t="str">
        <f t="shared" si="22"/>
        <v/>
      </c>
      <c r="E742" s="170" t="str">
        <f t="shared" si="23"/>
        <v/>
      </c>
      <c r="F742" s="170"/>
      <c r="G742" s="170"/>
      <c r="H742" s="170"/>
      <c r="I742" s="170"/>
      <c r="J742" s="170"/>
      <c r="K742" s="170"/>
      <c r="L742" s="170"/>
      <c r="M742" s="170"/>
      <c r="N742" s="170"/>
      <c r="O742" s="201"/>
    </row>
    <row r="743" spans="1:15" s="139" customFormat="1" ht="15.75">
      <c r="A743" s="205" t="str">
        <f>IF(ISNA(VLOOKUP(D743,'Standard Smelter Names'!$B$3:$E$153,4,FALSE)),"",VLOOKUP(D743,'Standard Smelter Names'!$B$3:$E$153,4,FALSE))</f>
        <v/>
      </c>
      <c r="B743" s="170"/>
      <c r="C743" s="184"/>
      <c r="D743" s="184" t="str">
        <f t="shared" si="22"/>
        <v/>
      </c>
      <c r="E743" s="170" t="str">
        <f t="shared" si="23"/>
        <v/>
      </c>
      <c r="F743" s="170"/>
      <c r="G743" s="170"/>
      <c r="H743" s="170"/>
      <c r="I743" s="170"/>
      <c r="J743" s="170"/>
      <c r="K743" s="170"/>
      <c r="L743" s="170"/>
      <c r="M743" s="170"/>
      <c r="N743" s="170"/>
      <c r="O743" s="201"/>
    </row>
    <row r="744" spans="1:15" s="139" customFormat="1" ht="15.75">
      <c r="A744" s="205" t="str">
        <f>IF(ISNA(VLOOKUP(D744,'Standard Smelter Names'!$B$3:$E$153,4,FALSE)),"",VLOOKUP(D744,'Standard Smelter Names'!$B$3:$E$153,4,FALSE))</f>
        <v/>
      </c>
      <c r="B744" s="170"/>
      <c r="C744" s="184"/>
      <c r="D744" s="184" t="str">
        <f t="shared" si="22"/>
        <v/>
      </c>
      <c r="E744" s="170" t="str">
        <f t="shared" si="23"/>
        <v/>
      </c>
      <c r="F744" s="170"/>
      <c r="G744" s="170"/>
      <c r="H744" s="170"/>
      <c r="I744" s="170"/>
      <c r="J744" s="170"/>
      <c r="K744" s="170"/>
      <c r="L744" s="170"/>
      <c r="M744" s="170"/>
      <c r="N744" s="170"/>
      <c r="O744" s="201"/>
    </row>
    <row r="745" spans="1:15" s="139" customFormat="1" ht="15.75">
      <c r="A745" s="205" t="str">
        <f>IF(ISNA(VLOOKUP(D745,'Standard Smelter Names'!$B$3:$E$153,4,FALSE)),"",VLOOKUP(D745,'Standard Smelter Names'!$B$3:$E$153,4,FALSE))</f>
        <v/>
      </c>
      <c r="B745" s="170"/>
      <c r="C745" s="184"/>
      <c r="D745" s="184" t="str">
        <f t="shared" si="22"/>
        <v/>
      </c>
      <c r="E745" s="170" t="str">
        <f t="shared" si="23"/>
        <v/>
      </c>
      <c r="F745" s="170"/>
      <c r="G745" s="170"/>
      <c r="H745" s="170"/>
      <c r="I745" s="170"/>
      <c r="J745" s="170"/>
      <c r="K745" s="170"/>
      <c r="L745" s="170"/>
      <c r="M745" s="170"/>
      <c r="N745" s="170"/>
      <c r="O745" s="201"/>
    </row>
    <row r="746" spans="1:15" s="139" customFormat="1" ht="15.75">
      <c r="A746" s="205" t="str">
        <f>IF(ISNA(VLOOKUP(D746,'Standard Smelter Names'!$B$3:$E$153,4,FALSE)),"",VLOOKUP(D746,'Standard Smelter Names'!$B$3:$E$153,4,FALSE))</f>
        <v/>
      </c>
      <c r="B746" s="170"/>
      <c r="C746" s="184"/>
      <c r="D746" s="184" t="str">
        <f t="shared" si="22"/>
        <v/>
      </c>
      <c r="E746" s="170" t="str">
        <f t="shared" si="23"/>
        <v/>
      </c>
      <c r="F746" s="170"/>
      <c r="G746" s="170"/>
      <c r="H746" s="170"/>
      <c r="I746" s="170"/>
      <c r="J746" s="170"/>
      <c r="K746" s="170"/>
      <c r="L746" s="170"/>
      <c r="M746" s="170"/>
      <c r="N746" s="170"/>
      <c r="O746" s="201"/>
    </row>
    <row r="747" spans="1:15" s="139" customFormat="1" ht="15.75">
      <c r="A747" s="205" t="str">
        <f>IF(ISNA(VLOOKUP(D747,'Standard Smelter Names'!$B$3:$E$153,4,FALSE)),"",VLOOKUP(D747,'Standard Smelter Names'!$B$3:$E$153,4,FALSE))</f>
        <v/>
      </c>
      <c r="B747" s="170"/>
      <c r="C747" s="184"/>
      <c r="D747" s="184" t="str">
        <f t="shared" si="22"/>
        <v/>
      </c>
      <c r="E747" s="170" t="str">
        <f t="shared" si="23"/>
        <v/>
      </c>
      <c r="F747" s="170"/>
      <c r="G747" s="170"/>
      <c r="H747" s="170"/>
      <c r="I747" s="170"/>
      <c r="J747" s="170"/>
      <c r="K747" s="170"/>
      <c r="L747" s="170"/>
      <c r="M747" s="170"/>
      <c r="N747" s="170"/>
      <c r="O747" s="201"/>
    </row>
    <row r="748" spans="1:15" s="139" customFormat="1" ht="15.75">
      <c r="A748" s="205" t="str">
        <f>IF(ISNA(VLOOKUP(D748,'Standard Smelter Names'!$B$3:$E$153,4,FALSE)),"",VLOOKUP(D748,'Standard Smelter Names'!$B$3:$E$153,4,FALSE))</f>
        <v/>
      </c>
      <c r="B748" s="170"/>
      <c r="C748" s="184"/>
      <c r="D748" s="184" t="str">
        <f t="shared" si="22"/>
        <v/>
      </c>
      <c r="E748" s="170" t="str">
        <f t="shared" si="23"/>
        <v/>
      </c>
      <c r="F748" s="170"/>
      <c r="G748" s="170"/>
      <c r="H748" s="170"/>
      <c r="I748" s="170"/>
      <c r="J748" s="170"/>
      <c r="K748" s="170"/>
      <c r="L748" s="170"/>
      <c r="M748" s="170"/>
      <c r="N748" s="170"/>
      <c r="O748" s="201"/>
    </row>
    <row r="749" spans="1:15" s="139" customFormat="1" ht="15.75">
      <c r="A749" s="205" t="str">
        <f>IF(ISNA(VLOOKUP(D749,'Standard Smelter Names'!$B$3:$E$153,4,FALSE)),"",VLOOKUP(D749,'Standard Smelter Names'!$B$3:$E$153,4,FALSE))</f>
        <v/>
      </c>
      <c r="B749" s="170"/>
      <c r="C749" s="184"/>
      <c r="D749" s="184" t="str">
        <f t="shared" si="22"/>
        <v/>
      </c>
      <c r="E749" s="170" t="str">
        <f t="shared" si="23"/>
        <v/>
      </c>
      <c r="F749" s="170"/>
      <c r="G749" s="170"/>
      <c r="H749" s="170"/>
      <c r="I749" s="170"/>
      <c r="J749" s="170"/>
      <c r="K749" s="170"/>
      <c r="L749" s="170"/>
      <c r="M749" s="170"/>
      <c r="N749" s="170"/>
      <c r="O749" s="201"/>
    </row>
    <row r="750" spans="1:15" s="139" customFormat="1" ht="15.75">
      <c r="A750" s="205" t="str">
        <f>IF(ISNA(VLOOKUP(D750,'Standard Smelter Names'!$B$3:$E$153,4,FALSE)),"",VLOOKUP(D750,'Standard Smelter Names'!$B$3:$E$153,4,FALSE))</f>
        <v/>
      </c>
      <c r="B750" s="170"/>
      <c r="C750" s="184"/>
      <c r="D750" s="184" t="str">
        <f t="shared" si="22"/>
        <v/>
      </c>
      <c r="E750" s="170" t="str">
        <f t="shared" si="23"/>
        <v/>
      </c>
      <c r="F750" s="170"/>
      <c r="G750" s="170"/>
      <c r="H750" s="170"/>
      <c r="I750" s="170"/>
      <c r="J750" s="170"/>
      <c r="K750" s="170"/>
      <c r="L750" s="170"/>
      <c r="M750" s="170"/>
      <c r="N750" s="170"/>
      <c r="O750" s="201"/>
    </row>
    <row r="751" spans="1:15" s="139" customFormat="1" ht="15.75">
      <c r="A751" s="205" t="str">
        <f>IF(ISNA(VLOOKUP(D751,'Standard Smelter Names'!$B$3:$E$153,4,FALSE)),"",VLOOKUP(D751,'Standard Smelter Names'!$B$3:$E$153,4,FALSE))</f>
        <v/>
      </c>
      <c r="B751" s="170"/>
      <c r="C751" s="184"/>
      <c r="D751" s="184" t="str">
        <f t="shared" si="22"/>
        <v/>
      </c>
      <c r="E751" s="170" t="str">
        <f t="shared" si="23"/>
        <v/>
      </c>
      <c r="F751" s="170"/>
      <c r="G751" s="170"/>
      <c r="H751" s="170"/>
      <c r="I751" s="170"/>
      <c r="J751" s="170"/>
      <c r="K751" s="170"/>
      <c r="L751" s="170"/>
      <c r="M751" s="170"/>
      <c r="N751" s="170"/>
      <c r="O751" s="201"/>
    </row>
    <row r="752" spans="1:15" s="139" customFormat="1" ht="15.75">
      <c r="A752" s="205" t="str">
        <f>IF(ISNA(VLOOKUP(D752,'Standard Smelter Names'!$B$3:$E$153,4,FALSE)),"",VLOOKUP(D752,'Standard Smelter Names'!$B$3:$E$153,4,FALSE))</f>
        <v/>
      </c>
      <c r="B752" s="170"/>
      <c r="C752" s="184"/>
      <c r="D752" s="184" t="str">
        <f t="shared" si="22"/>
        <v/>
      </c>
      <c r="E752" s="170" t="str">
        <f t="shared" si="23"/>
        <v/>
      </c>
      <c r="F752" s="170"/>
      <c r="G752" s="170"/>
      <c r="H752" s="170"/>
      <c r="I752" s="170"/>
      <c r="J752" s="170"/>
      <c r="K752" s="170"/>
      <c r="L752" s="170"/>
      <c r="M752" s="170"/>
      <c r="N752" s="170"/>
      <c r="O752" s="201"/>
    </row>
    <row r="753" spans="1:15" s="139" customFormat="1" ht="15.75">
      <c r="A753" s="205" t="str">
        <f>IF(ISNA(VLOOKUP(D753,'Standard Smelter Names'!$B$3:$E$153,4,FALSE)),"",VLOOKUP(D753,'Standard Smelter Names'!$B$3:$E$153,4,FALSE))</f>
        <v/>
      </c>
      <c r="B753" s="170"/>
      <c r="C753" s="184"/>
      <c r="D753" s="184" t="str">
        <f t="shared" si="22"/>
        <v/>
      </c>
      <c r="E753" s="170" t="str">
        <f t="shared" si="23"/>
        <v/>
      </c>
      <c r="F753" s="170"/>
      <c r="G753" s="170"/>
      <c r="H753" s="170"/>
      <c r="I753" s="170"/>
      <c r="J753" s="170"/>
      <c r="K753" s="170"/>
      <c r="L753" s="170"/>
      <c r="M753" s="170"/>
      <c r="N753" s="170"/>
      <c r="O753" s="201"/>
    </row>
    <row r="754" spans="1:15" s="139" customFormat="1" ht="15.75">
      <c r="A754" s="205" t="str">
        <f>IF(ISNA(VLOOKUP(D754,'Standard Smelter Names'!$B$3:$E$153,4,FALSE)),"",VLOOKUP(D754,'Standard Smelter Names'!$B$3:$E$153,4,FALSE))</f>
        <v/>
      </c>
      <c r="B754" s="170"/>
      <c r="C754" s="184"/>
      <c r="D754" s="184" t="str">
        <f t="shared" si="22"/>
        <v/>
      </c>
      <c r="E754" s="170" t="str">
        <f t="shared" si="23"/>
        <v/>
      </c>
      <c r="F754" s="170"/>
      <c r="G754" s="170"/>
      <c r="H754" s="170"/>
      <c r="I754" s="170"/>
      <c r="J754" s="170"/>
      <c r="K754" s="170"/>
      <c r="L754" s="170"/>
      <c r="M754" s="170"/>
      <c r="N754" s="170"/>
      <c r="O754" s="201"/>
    </row>
    <row r="755" spans="1:15" s="139" customFormat="1" ht="15.75">
      <c r="A755" s="205" t="str">
        <f>IF(ISNA(VLOOKUP(D755,'Standard Smelter Names'!$B$3:$E$153,4,FALSE)),"",VLOOKUP(D755,'Standard Smelter Names'!$B$3:$E$153,4,FALSE))</f>
        <v/>
      </c>
      <c r="B755" s="170"/>
      <c r="C755" s="184"/>
      <c r="D755" s="184" t="str">
        <f t="shared" si="22"/>
        <v/>
      </c>
      <c r="E755" s="170" t="str">
        <f t="shared" si="23"/>
        <v/>
      </c>
      <c r="F755" s="170"/>
      <c r="G755" s="170"/>
      <c r="H755" s="170"/>
      <c r="I755" s="170"/>
      <c r="J755" s="170"/>
      <c r="K755" s="170"/>
      <c r="L755" s="170"/>
      <c r="M755" s="170"/>
      <c r="N755" s="170"/>
      <c r="O755" s="201"/>
    </row>
    <row r="756" spans="1:15" s="139" customFormat="1" ht="15.75">
      <c r="A756" s="205" t="str">
        <f>IF(ISNA(VLOOKUP(D756,'Standard Smelter Names'!$B$3:$E$153,4,FALSE)),"",VLOOKUP(D756,'Standard Smelter Names'!$B$3:$E$153,4,FALSE))</f>
        <v/>
      </c>
      <c r="B756" s="170"/>
      <c r="C756" s="184"/>
      <c r="D756" s="184" t="str">
        <f t="shared" si="22"/>
        <v/>
      </c>
      <c r="E756" s="170" t="str">
        <f t="shared" si="23"/>
        <v/>
      </c>
      <c r="F756" s="170"/>
      <c r="G756" s="170"/>
      <c r="H756" s="170"/>
      <c r="I756" s="170"/>
      <c r="J756" s="170"/>
      <c r="K756" s="170"/>
      <c r="L756" s="170"/>
      <c r="M756" s="170"/>
      <c r="N756" s="170"/>
      <c r="O756" s="201"/>
    </row>
    <row r="757" spans="1:15" s="139" customFormat="1" ht="15.75">
      <c r="A757" s="205" t="str">
        <f>IF(ISNA(VLOOKUP(D757,'Standard Smelter Names'!$B$3:$E$153,4,FALSE)),"",VLOOKUP(D757,'Standard Smelter Names'!$B$3:$E$153,4,FALSE))</f>
        <v/>
      </c>
      <c r="B757" s="170"/>
      <c r="C757" s="184"/>
      <c r="D757" s="184" t="str">
        <f t="shared" si="22"/>
        <v/>
      </c>
      <c r="E757" s="170" t="str">
        <f t="shared" si="23"/>
        <v/>
      </c>
      <c r="F757" s="170"/>
      <c r="G757" s="170"/>
      <c r="H757" s="170"/>
      <c r="I757" s="170"/>
      <c r="J757" s="170"/>
      <c r="K757" s="170"/>
      <c r="L757" s="170"/>
      <c r="M757" s="170"/>
      <c r="N757" s="170"/>
      <c r="O757" s="201"/>
    </row>
    <row r="758" spans="1:15" s="139" customFormat="1" ht="15.75">
      <c r="A758" s="205" t="str">
        <f>IF(ISNA(VLOOKUP(D758,'Standard Smelter Names'!$B$3:$E$153,4,FALSE)),"",VLOOKUP(D758,'Standard Smelter Names'!$B$3:$E$153,4,FALSE))</f>
        <v/>
      </c>
      <c r="B758" s="170"/>
      <c r="C758" s="184"/>
      <c r="D758" s="184" t="str">
        <f t="shared" si="22"/>
        <v/>
      </c>
      <c r="E758" s="170" t="str">
        <f t="shared" si="23"/>
        <v/>
      </c>
      <c r="F758" s="170"/>
      <c r="G758" s="170"/>
      <c r="H758" s="170"/>
      <c r="I758" s="170"/>
      <c r="J758" s="170"/>
      <c r="K758" s="170"/>
      <c r="L758" s="170"/>
      <c r="M758" s="170"/>
      <c r="N758" s="170"/>
      <c r="O758" s="201"/>
    </row>
    <row r="759" spans="1:15" s="139" customFormat="1" ht="15.75">
      <c r="A759" s="205" t="str">
        <f>IF(ISNA(VLOOKUP(D759,'Standard Smelter Names'!$B$3:$E$153,4,FALSE)),"",VLOOKUP(D759,'Standard Smelter Names'!$B$3:$E$153,4,FALSE))</f>
        <v/>
      </c>
      <c r="B759" s="170"/>
      <c r="C759" s="184"/>
      <c r="D759" s="184" t="str">
        <f t="shared" si="22"/>
        <v/>
      </c>
      <c r="E759" s="170" t="str">
        <f t="shared" si="23"/>
        <v/>
      </c>
      <c r="F759" s="170"/>
      <c r="G759" s="170"/>
      <c r="H759" s="170"/>
      <c r="I759" s="170"/>
      <c r="J759" s="170"/>
      <c r="K759" s="170"/>
      <c r="L759" s="170"/>
      <c r="M759" s="170"/>
      <c r="N759" s="170"/>
      <c r="O759" s="201"/>
    </row>
    <row r="760" spans="1:15" s="139" customFormat="1" ht="15.75">
      <c r="A760" s="205" t="str">
        <f>IF(ISNA(VLOOKUP(D760,'Standard Smelter Names'!$B$3:$E$153,4,FALSE)),"",VLOOKUP(D760,'Standard Smelter Names'!$B$3:$E$153,4,FALSE))</f>
        <v/>
      </c>
      <c r="B760" s="170"/>
      <c r="C760" s="184"/>
      <c r="D760" s="184" t="str">
        <f t="shared" si="22"/>
        <v/>
      </c>
      <c r="E760" s="170" t="str">
        <f t="shared" si="23"/>
        <v/>
      </c>
      <c r="F760" s="170"/>
      <c r="G760" s="170"/>
      <c r="H760" s="170"/>
      <c r="I760" s="170"/>
      <c r="J760" s="170"/>
      <c r="K760" s="170"/>
      <c r="L760" s="170"/>
      <c r="M760" s="170"/>
      <c r="N760" s="170"/>
      <c r="O760" s="201"/>
    </row>
    <row r="761" spans="1:15" s="139" customFormat="1" ht="15.75">
      <c r="A761" s="205" t="str">
        <f>IF(ISNA(VLOOKUP(D761,'Standard Smelter Names'!$B$3:$E$153,4,FALSE)),"",VLOOKUP(D761,'Standard Smelter Names'!$B$3:$E$153,4,FALSE))</f>
        <v/>
      </c>
      <c r="B761" s="170"/>
      <c r="C761" s="184"/>
      <c r="D761" s="184" t="str">
        <f t="shared" si="22"/>
        <v/>
      </c>
      <c r="E761" s="170" t="str">
        <f t="shared" si="23"/>
        <v/>
      </c>
      <c r="F761" s="170"/>
      <c r="G761" s="170"/>
      <c r="H761" s="170"/>
      <c r="I761" s="170"/>
      <c r="J761" s="170"/>
      <c r="K761" s="170"/>
      <c r="L761" s="170"/>
      <c r="M761" s="170"/>
      <c r="N761" s="170"/>
      <c r="O761" s="201"/>
    </row>
    <row r="762" spans="1:15" s="139" customFormat="1" ht="15.75">
      <c r="A762" s="205" t="str">
        <f>IF(ISNA(VLOOKUP(D762,'Standard Smelter Names'!$B$3:$E$153,4,FALSE)),"",VLOOKUP(D762,'Standard Smelter Names'!$B$3:$E$153,4,FALSE))</f>
        <v/>
      </c>
      <c r="B762" s="170"/>
      <c r="C762" s="184"/>
      <c r="D762" s="184" t="str">
        <f t="shared" si="22"/>
        <v/>
      </c>
      <c r="E762" s="170" t="str">
        <f t="shared" si="23"/>
        <v/>
      </c>
      <c r="F762" s="170"/>
      <c r="G762" s="170"/>
      <c r="H762" s="170"/>
      <c r="I762" s="170"/>
      <c r="J762" s="170"/>
      <c r="K762" s="170"/>
      <c r="L762" s="170"/>
      <c r="M762" s="170"/>
      <c r="N762" s="170"/>
      <c r="O762" s="201"/>
    </row>
    <row r="763" spans="1:15" s="139" customFormat="1" ht="15.75">
      <c r="A763" s="205" t="str">
        <f>IF(ISNA(VLOOKUP(D763,'Standard Smelter Names'!$B$3:$E$153,4,FALSE)),"",VLOOKUP(D763,'Standard Smelter Names'!$B$3:$E$153,4,FALSE))</f>
        <v/>
      </c>
      <c r="B763" s="170"/>
      <c r="C763" s="184"/>
      <c r="D763" s="184" t="str">
        <f t="shared" si="22"/>
        <v/>
      </c>
      <c r="E763" s="170" t="str">
        <f t="shared" si="23"/>
        <v/>
      </c>
      <c r="F763" s="170"/>
      <c r="G763" s="170"/>
      <c r="H763" s="170"/>
      <c r="I763" s="170"/>
      <c r="J763" s="170"/>
      <c r="K763" s="170"/>
      <c r="L763" s="170"/>
      <c r="M763" s="170"/>
      <c r="N763" s="170"/>
      <c r="O763" s="201"/>
    </row>
    <row r="764" spans="1:15" s="139" customFormat="1" ht="15.75">
      <c r="A764" s="205" t="str">
        <f>IF(ISNA(VLOOKUP(D764,'Standard Smelter Names'!$B$3:$E$153,4,FALSE)),"",VLOOKUP(D764,'Standard Smelter Names'!$B$3:$E$153,4,FALSE))</f>
        <v/>
      </c>
      <c r="B764" s="170"/>
      <c r="C764" s="184"/>
      <c r="D764" s="184" t="str">
        <f t="shared" si="22"/>
        <v/>
      </c>
      <c r="E764" s="170" t="str">
        <f t="shared" si="23"/>
        <v/>
      </c>
      <c r="F764" s="170"/>
      <c r="G764" s="170"/>
      <c r="H764" s="170"/>
      <c r="I764" s="170"/>
      <c r="J764" s="170"/>
      <c r="K764" s="170"/>
      <c r="L764" s="170"/>
      <c r="M764" s="170"/>
      <c r="N764" s="170"/>
      <c r="O764" s="201"/>
    </row>
    <row r="765" spans="1:15" s="139" customFormat="1" ht="15.75">
      <c r="A765" s="205" t="str">
        <f>IF(ISNA(VLOOKUP(D765,'Standard Smelter Names'!$B$3:$E$153,4,FALSE)),"",VLOOKUP(D765,'Standard Smelter Names'!$B$3:$E$153,4,FALSE))</f>
        <v/>
      </c>
      <c r="B765" s="170"/>
      <c r="C765" s="184"/>
      <c r="D765" s="184" t="str">
        <f t="shared" si="22"/>
        <v/>
      </c>
      <c r="E765" s="170" t="str">
        <f t="shared" si="23"/>
        <v/>
      </c>
      <c r="F765" s="170"/>
      <c r="G765" s="170"/>
      <c r="H765" s="170"/>
      <c r="I765" s="170"/>
      <c r="J765" s="170"/>
      <c r="K765" s="170"/>
      <c r="L765" s="170"/>
      <c r="M765" s="170"/>
      <c r="N765" s="170"/>
      <c r="O765" s="201"/>
    </row>
    <row r="766" spans="1:15" s="139" customFormat="1" ht="15.75">
      <c r="A766" s="205" t="str">
        <f>IF(ISNA(VLOOKUP(D766,'Standard Smelter Names'!$B$3:$E$153,4,FALSE)),"",VLOOKUP(D766,'Standard Smelter Names'!$B$3:$E$153,4,FALSE))</f>
        <v/>
      </c>
      <c r="B766" s="170"/>
      <c r="C766" s="184"/>
      <c r="D766" s="184" t="str">
        <f t="shared" si="22"/>
        <v/>
      </c>
      <c r="E766" s="170" t="str">
        <f t="shared" si="23"/>
        <v/>
      </c>
      <c r="F766" s="170"/>
      <c r="G766" s="170"/>
      <c r="H766" s="170"/>
      <c r="I766" s="170"/>
      <c r="J766" s="170"/>
      <c r="K766" s="170"/>
      <c r="L766" s="170"/>
      <c r="M766" s="170"/>
      <c r="N766" s="170"/>
      <c r="O766" s="201"/>
    </row>
    <row r="767" spans="1:15" s="139" customFormat="1" ht="15.75">
      <c r="A767" s="205" t="str">
        <f>IF(ISNA(VLOOKUP(D767,'Standard Smelter Names'!$B$3:$E$153,4,FALSE)),"",VLOOKUP(D767,'Standard Smelter Names'!$B$3:$E$153,4,FALSE))</f>
        <v/>
      </c>
      <c r="B767" s="170"/>
      <c r="C767" s="184"/>
      <c r="D767" s="184" t="str">
        <f t="shared" si="22"/>
        <v/>
      </c>
      <c r="E767" s="170" t="str">
        <f t="shared" si="23"/>
        <v/>
      </c>
      <c r="F767" s="170"/>
      <c r="G767" s="170"/>
      <c r="H767" s="170"/>
      <c r="I767" s="170"/>
      <c r="J767" s="170"/>
      <c r="K767" s="170"/>
      <c r="L767" s="170"/>
      <c r="M767" s="170"/>
      <c r="N767" s="170"/>
      <c r="O767" s="201"/>
    </row>
    <row r="768" spans="1:15" s="139" customFormat="1" ht="15.75">
      <c r="A768" s="205" t="str">
        <f>IF(ISNA(VLOOKUP(D768,'Standard Smelter Names'!$B$3:$E$153,4,FALSE)),"",VLOOKUP(D768,'Standard Smelter Names'!$B$3:$E$153,4,FALSE))</f>
        <v/>
      </c>
      <c r="B768" s="170"/>
      <c r="C768" s="184"/>
      <c r="D768" s="184" t="str">
        <f t="shared" si="22"/>
        <v/>
      </c>
      <c r="E768" s="170" t="str">
        <f t="shared" si="23"/>
        <v/>
      </c>
      <c r="F768" s="170"/>
      <c r="G768" s="170"/>
      <c r="H768" s="170"/>
      <c r="I768" s="170"/>
      <c r="J768" s="170"/>
      <c r="K768" s="170"/>
      <c r="L768" s="170"/>
      <c r="M768" s="170"/>
      <c r="N768" s="170"/>
      <c r="O768" s="201"/>
    </row>
    <row r="769" spans="1:15" s="139" customFormat="1" ht="15.75">
      <c r="A769" s="205" t="str">
        <f>IF(ISNA(VLOOKUP(D769,'Standard Smelter Names'!$B$3:$E$153,4,FALSE)),"",VLOOKUP(D769,'Standard Smelter Names'!$B$3:$E$153,4,FALSE))</f>
        <v/>
      </c>
      <c r="B769" s="170"/>
      <c r="C769" s="184"/>
      <c r="D769" s="184" t="str">
        <f t="shared" si="22"/>
        <v/>
      </c>
      <c r="E769" s="170" t="str">
        <f t="shared" si="23"/>
        <v/>
      </c>
      <c r="F769" s="170"/>
      <c r="G769" s="170"/>
      <c r="H769" s="170"/>
      <c r="I769" s="170"/>
      <c r="J769" s="170"/>
      <c r="K769" s="170"/>
      <c r="L769" s="170"/>
      <c r="M769" s="170"/>
      <c r="N769" s="170"/>
      <c r="O769" s="201"/>
    </row>
    <row r="770" spans="1:15" s="139" customFormat="1" ht="15.75">
      <c r="A770" s="205" t="str">
        <f>IF(ISNA(VLOOKUP(D770,'Standard Smelter Names'!$B$3:$E$153,4,FALSE)),"",VLOOKUP(D770,'Standard Smelter Names'!$B$3:$E$153,4,FALSE))</f>
        <v/>
      </c>
      <c r="B770" s="170"/>
      <c r="C770" s="184"/>
      <c r="D770" s="184" t="str">
        <f t="shared" si="22"/>
        <v/>
      </c>
      <c r="E770" s="170" t="str">
        <f t="shared" si="23"/>
        <v/>
      </c>
      <c r="F770" s="170"/>
      <c r="G770" s="170"/>
      <c r="H770" s="170"/>
      <c r="I770" s="170"/>
      <c r="J770" s="170"/>
      <c r="K770" s="170"/>
      <c r="L770" s="170"/>
      <c r="M770" s="170"/>
      <c r="N770" s="170"/>
      <c r="O770" s="201"/>
    </row>
    <row r="771" spans="1:15" s="139" customFormat="1" ht="15.75">
      <c r="A771" s="205" t="str">
        <f>IF(ISNA(VLOOKUP(D771,'Standard Smelter Names'!$B$3:$E$153,4,FALSE)),"",VLOOKUP(D771,'Standard Smelter Names'!$B$3:$E$153,4,FALSE))</f>
        <v/>
      </c>
      <c r="B771" s="170"/>
      <c r="C771" s="184"/>
      <c r="D771" s="184" t="str">
        <f t="shared" si="22"/>
        <v/>
      </c>
      <c r="E771" s="170" t="str">
        <f t="shared" si="23"/>
        <v/>
      </c>
      <c r="F771" s="170"/>
      <c r="G771" s="170"/>
      <c r="H771" s="170"/>
      <c r="I771" s="170"/>
      <c r="J771" s="170"/>
      <c r="K771" s="170"/>
      <c r="L771" s="170"/>
      <c r="M771" s="170"/>
      <c r="N771" s="170"/>
      <c r="O771" s="201"/>
    </row>
    <row r="772" spans="1:15" s="139" customFormat="1" ht="15.75">
      <c r="A772" s="205" t="str">
        <f>IF(ISNA(VLOOKUP(D772,'Standard Smelter Names'!$B$3:$E$153,4,FALSE)),"",VLOOKUP(D772,'Standard Smelter Names'!$B$3:$E$153,4,FALSE))</f>
        <v/>
      </c>
      <c r="B772" s="170"/>
      <c r="C772" s="184"/>
      <c r="D772" s="184" t="str">
        <f t="shared" si="22"/>
        <v/>
      </c>
      <c r="E772" s="170" t="str">
        <f t="shared" si="23"/>
        <v/>
      </c>
      <c r="F772" s="170"/>
      <c r="G772" s="170"/>
      <c r="H772" s="170"/>
      <c r="I772" s="170"/>
      <c r="J772" s="170"/>
      <c r="K772" s="170"/>
      <c r="L772" s="170"/>
      <c r="M772" s="170"/>
      <c r="N772" s="170"/>
      <c r="O772" s="201"/>
    </row>
    <row r="773" spans="1:15" s="139" customFormat="1" ht="15.75">
      <c r="A773" s="205" t="str">
        <f>IF(ISNA(VLOOKUP(D773,'Standard Smelter Names'!$B$3:$E$153,4,FALSE)),"",VLOOKUP(D773,'Standard Smelter Names'!$B$3:$E$153,4,FALSE))</f>
        <v/>
      </c>
      <c r="B773" s="170"/>
      <c r="C773" s="184"/>
      <c r="D773" s="184" t="str">
        <f t="shared" ref="D773:D836" si="24">IF(ISNA(VLOOKUP(C773,$G$1023:$I$1309,3,FALSE)),"",VLOOKUP(C773,$G$1023:$I$1309,3,FALSE))</f>
        <v/>
      </c>
      <c r="E773" s="170" t="str">
        <f t="shared" ref="E773:E836" si="25">IF(ISNA(VLOOKUP(C773,$G$1023:$I$1309,2,FALSE)),"",VLOOKUP(C773,$G$1023:$I$1309,2,FALSE))</f>
        <v/>
      </c>
      <c r="F773" s="170"/>
      <c r="G773" s="170"/>
      <c r="H773" s="170"/>
      <c r="I773" s="170"/>
      <c r="J773" s="170"/>
      <c r="K773" s="170"/>
      <c r="L773" s="170"/>
      <c r="M773" s="170"/>
      <c r="N773" s="170"/>
      <c r="O773" s="201"/>
    </row>
    <row r="774" spans="1:15" s="139" customFormat="1" ht="15.75">
      <c r="A774" s="205" t="str">
        <f>IF(ISNA(VLOOKUP(D774,'Standard Smelter Names'!$B$3:$E$153,4,FALSE)),"",VLOOKUP(D774,'Standard Smelter Names'!$B$3:$E$153,4,FALSE))</f>
        <v/>
      </c>
      <c r="B774" s="170"/>
      <c r="C774" s="184"/>
      <c r="D774" s="184" t="str">
        <f t="shared" si="24"/>
        <v/>
      </c>
      <c r="E774" s="170" t="str">
        <f t="shared" si="25"/>
        <v/>
      </c>
      <c r="F774" s="170"/>
      <c r="G774" s="170"/>
      <c r="H774" s="170"/>
      <c r="I774" s="170"/>
      <c r="J774" s="170"/>
      <c r="K774" s="170"/>
      <c r="L774" s="170"/>
      <c r="M774" s="170"/>
      <c r="N774" s="170"/>
      <c r="O774" s="201"/>
    </row>
    <row r="775" spans="1:15" s="139" customFormat="1" ht="15.75">
      <c r="A775" s="205" t="str">
        <f>IF(ISNA(VLOOKUP(D775,'Standard Smelter Names'!$B$3:$E$153,4,FALSE)),"",VLOOKUP(D775,'Standard Smelter Names'!$B$3:$E$153,4,FALSE))</f>
        <v/>
      </c>
      <c r="B775" s="170"/>
      <c r="C775" s="184"/>
      <c r="D775" s="184" t="str">
        <f t="shared" si="24"/>
        <v/>
      </c>
      <c r="E775" s="170" t="str">
        <f t="shared" si="25"/>
        <v/>
      </c>
      <c r="F775" s="170"/>
      <c r="G775" s="170"/>
      <c r="H775" s="170"/>
      <c r="I775" s="170"/>
      <c r="J775" s="170"/>
      <c r="K775" s="170"/>
      <c r="L775" s="170"/>
      <c r="M775" s="170"/>
      <c r="N775" s="170"/>
      <c r="O775" s="201"/>
    </row>
    <row r="776" spans="1:15" s="139" customFormat="1" ht="15.75">
      <c r="A776" s="205" t="str">
        <f>IF(ISNA(VLOOKUP(D776,'Standard Smelter Names'!$B$3:$E$153,4,FALSE)),"",VLOOKUP(D776,'Standard Smelter Names'!$B$3:$E$153,4,FALSE))</f>
        <v/>
      </c>
      <c r="B776" s="170"/>
      <c r="C776" s="184"/>
      <c r="D776" s="184" t="str">
        <f t="shared" si="24"/>
        <v/>
      </c>
      <c r="E776" s="170" t="str">
        <f t="shared" si="25"/>
        <v/>
      </c>
      <c r="F776" s="170"/>
      <c r="G776" s="170"/>
      <c r="H776" s="170"/>
      <c r="I776" s="170"/>
      <c r="J776" s="170"/>
      <c r="K776" s="170"/>
      <c r="L776" s="170"/>
      <c r="M776" s="170"/>
      <c r="N776" s="170"/>
      <c r="O776" s="201"/>
    </row>
    <row r="777" spans="1:15" s="139" customFormat="1" ht="15.75">
      <c r="A777" s="205" t="str">
        <f>IF(ISNA(VLOOKUP(D777,'Standard Smelter Names'!$B$3:$E$153,4,FALSE)),"",VLOOKUP(D777,'Standard Smelter Names'!$B$3:$E$153,4,FALSE))</f>
        <v/>
      </c>
      <c r="B777" s="170"/>
      <c r="C777" s="184"/>
      <c r="D777" s="184" t="str">
        <f t="shared" si="24"/>
        <v/>
      </c>
      <c r="E777" s="170" t="str">
        <f t="shared" si="25"/>
        <v/>
      </c>
      <c r="F777" s="170"/>
      <c r="G777" s="170"/>
      <c r="H777" s="170"/>
      <c r="I777" s="170"/>
      <c r="J777" s="170"/>
      <c r="K777" s="170"/>
      <c r="L777" s="170"/>
      <c r="M777" s="170"/>
      <c r="N777" s="170"/>
      <c r="O777" s="201"/>
    </row>
    <row r="778" spans="1:15" s="139" customFormat="1" ht="15.75">
      <c r="A778" s="205" t="str">
        <f>IF(ISNA(VLOOKUP(D778,'Standard Smelter Names'!$B$3:$E$153,4,FALSE)),"",VLOOKUP(D778,'Standard Smelter Names'!$B$3:$E$153,4,FALSE))</f>
        <v/>
      </c>
      <c r="B778" s="170"/>
      <c r="C778" s="184"/>
      <c r="D778" s="184" t="str">
        <f t="shared" si="24"/>
        <v/>
      </c>
      <c r="E778" s="170" t="str">
        <f t="shared" si="25"/>
        <v/>
      </c>
      <c r="F778" s="170"/>
      <c r="G778" s="170"/>
      <c r="H778" s="170"/>
      <c r="I778" s="170"/>
      <c r="J778" s="170"/>
      <c r="K778" s="170"/>
      <c r="L778" s="170"/>
      <c r="M778" s="170"/>
      <c r="N778" s="170"/>
      <c r="O778" s="201"/>
    </row>
    <row r="779" spans="1:15" s="139" customFormat="1" ht="15.75">
      <c r="A779" s="205" t="str">
        <f>IF(ISNA(VLOOKUP(D779,'Standard Smelter Names'!$B$3:$E$153,4,FALSE)),"",VLOOKUP(D779,'Standard Smelter Names'!$B$3:$E$153,4,FALSE))</f>
        <v/>
      </c>
      <c r="B779" s="170"/>
      <c r="C779" s="184"/>
      <c r="D779" s="184" t="str">
        <f t="shared" si="24"/>
        <v/>
      </c>
      <c r="E779" s="170" t="str">
        <f t="shared" si="25"/>
        <v/>
      </c>
      <c r="F779" s="170"/>
      <c r="G779" s="170"/>
      <c r="H779" s="170"/>
      <c r="I779" s="170"/>
      <c r="J779" s="170"/>
      <c r="K779" s="170"/>
      <c r="L779" s="170"/>
      <c r="M779" s="170"/>
      <c r="N779" s="170"/>
      <c r="O779" s="201"/>
    </row>
    <row r="780" spans="1:15" s="139" customFormat="1" ht="15.75">
      <c r="A780" s="205" t="str">
        <f>IF(ISNA(VLOOKUP(D780,'Standard Smelter Names'!$B$3:$E$153,4,FALSE)),"",VLOOKUP(D780,'Standard Smelter Names'!$B$3:$E$153,4,FALSE))</f>
        <v/>
      </c>
      <c r="B780" s="170"/>
      <c r="C780" s="184"/>
      <c r="D780" s="184" t="str">
        <f t="shared" si="24"/>
        <v/>
      </c>
      <c r="E780" s="170" t="str">
        <f t="shared" si="25"/>
        <v/>
      </c>
      <c r="F780" s="170"/>
      <c r="G780" s="170"/>
      <c r="H780" s="170"/>
      <c r="I780" s="170"/>
      <c r="J780" s="170"/>
      <c r="K780" s="170"/>
      <c r="L780" s="170"/>
      <c r="M780" s="170"/>
      <c r="N780" s="170"/>
      <c r="O780" s="201"/>
    </row>
    <row r="781" spans="1:15" s="139" customFormat="1" ht="15.75">
      <c r="A781" s="205" t="str">
        <f>IF(ISNA(VLOOKUP(D781,'Standard Smelter Names'!$B$3:$E$153,4,FALSE)),"",VLOOKUP(D781,'Standard Smelter Names'!$B$3:$E$153,4,FALSE))</f>
        <v/>
      </c>
      <c r="B781" s="170"/>
      <c r="C781" s="184"/>
      <c r="D781" s="184" t="str">
        <f t="shared" si="24"/>
        <v/>
      </c>
      <c r="E781" s="170" t="str">
        <f t="shared" si="25"/>
        <v/>
      </c>
      <c r="F781" s="170"/>
      <c r="G781" s="170"/>
      <c r="H781" s="170"/>
      <c r="I781" s="170"/>
      <c r="J781" s="170"/>
      <c r="K781" s="170"/>
      <c r="L781" s="170"/>
      <c r="M781" s="170"/>
      <c r="N781" s="170"/>
      <c r="O781" s="201"/>
    </row>
    <row r="782" spans="1:15" s="139" customFormat="1" ht="15.75">
      <c r="A782" s="205" t="str">
        <f>IF(ISNA(VLOOKUP(D782,'Standard Smelter Names'!$B$3:$E$153,4,FALSE)),"",VLOOKUP(D782,'Standard Smelter Names'!$B$3:$E$153,4,FALSE))</f>
        <v/>
      </c>
      <c r="B782" s="170"/>
      <c r="C782" s="184"/>
      <c r="D782" s="184" t="str">
        <f t="shared" si="24"/>
        <v/>
      </c>
      <c r="E782" s="170" t="str">
        <f t="shared" si="25"/>
        <v/>
      </c>
      <c r="F782" s="170"/>
      <c r="G782" s="170"/>
      <c r="H782" s="170"/>
      <c r="I782" s="170"/>
      <c r="J782" s="170"/>
      <c r="K782" s="170"/>
      <c r="L782" s="170"/>
      <c r="M782" s="170"/>
      <c r="N782" s="170"/>
      <c r="O782" s="201"/>
    </row>
    <row r="783" spans="1:15" s="139" customFormat="1" ht="15.75">
      <c r="A783" s="205" t="str">
        <f>IF(ISNA(VLOOKUP(D783,'Standard Smelter Names'!$B$3:$E$153,4,FALSE)),"",VLOOKUP(D783,'Standard Smelter Names'!$B$3:$E$153,4,FALSE))</f>
        <v/>
      </c>
      <c r="B783" s="170"/>
      <c r="C783" s="184"/>
      <c r="D783" s="184" t="str">
        <f t="shared" si="24"/>
        <v/>
      </c>
      <c r="E783" s="170" t="str">
        <f t="shared" si="25"/>
        <v/>
      </c>
      <c r="F783" s="170"/>
      <c r="G783" s="170"/>
      <c r="H783" s="170"/>
      <c r="I783" s="170"/>
      <c r="J783" s="170"/>
      <c r="K783" s="170"/>
      <c r="L783" s="170"/>
      <c r="M783" s="170"/>
      <c r="N783" s="170"/>
      <c r="O783" s="201"/>
    </row>
    <row r="784" spans="1:15" s="139" customFormat="1" ht="15.75">
      <c r="A784" s="205" t="str">
        <f>IF(ISNA(VLOOKUP(D784,'Standard Smelter Names'!$B$3:$E$153,4,FALSE)),"",VLOOKUP(D784,'Standard Smelter Names'!$B$3:$E$153,4,FALSE))</f>
        <v/>
      </c>
      <c r="B784" s="170"/>
      <c r="C784" s="184"/>
      <c r="D784" s="184" t="str">
        <f t="shared" si="24"/>
        <v/>
      </c>
      <c r="E784" s="170" t="str">
        <f t="shared" si="25"/>
        <v/>
      </c>
      <c r="F784" s="170"/>
      <c r="G784" s="170"/>
      <c r="H784" s="170"/>
      <c r="I784" s="170"/>
      <c r="J784" s="170"/>
      <c r="K784" s="170"/>
      <c r="L784" s="170"/>
      <c r="M784" s="170"/>
      <c r="N784" s="170"/>
      <c r="O784" s="201"/>
    </row>
    <row r="785" spans="1:15" s="139" customFormat="1" ht="15.75">
      <c r="A785" s="205" t="str">
        <f>IF(ISNA(VLOOKUP(D785,'Standard Smelter Names'!$B$3:$E$153,4,FALSE)),"",VLOOKUP(D785,'Standard Smelter Names'!$B$3:$E$153,4,FALSE))</f>
        <v/>
      </c>
      <c r="B785" s="170"/>
      <c r="C785" s="184"/>
      <c r="D785" s="184" t="str">
        <f t="shared" si="24"/>
        <v/>
      </c>
      <c r="E785" s="170" t="str">
        <f t="shared" si="25"/>
        <v/>
      </c>
      <c r="F785" s="170"/>
      <c r="G785" s="170"/>
      <c r="H785" s="170"/>
      <c r="I785" s="170"/>
      <c r="J785" s="170"/>
      <c r="K785" s="170"/>
      <c r="L785" s="170"/>
      <c r="M785" s="170"/>
      <c r="N785" s="170"/>
      <c r="O785" s="201"/>
    </row>
    <row r="786" spans="1:15" s="139" customFormat="1" ht="15.75">
      <c r="A786" s="205" t="str">
        <f>IF(ISNA(VLOOKUP(D786,'Standard Smelter Names'!$B$3:$E$153,4,FALSE)),"",VLOOKUP(D786,'Standard Smelter Names'!$B$3:$E$153,4,FALSE))</f>
        <v/>
      </c>
      <c r="B786" s="170"/>
      <c r="C786" s="184"/>
      <c r="D786" s="184" t="str">
        <f t="shared" si="24"/>
        <v/>
      </c>
      <c r="E786" s="170" t="str">
        <f t="shared" si="25"/>
        <v/>
      </c>
      <c r="F786" s="170"/>
      <c r="G786" s="170"/>
      <c r="H786" s="170"/>
      <c r="I786" s="170"/>
      <c r="J786" s="170"/>
      <c r="K786" s="170"/>
      <c r="L786" s="170"/>
      <c r="M786" s="170"/>
      <c r="N786" s="170"/>
      <c r="O786" s="201"/>
    </row>
    <row r="787" spans="1:15" s="139" customFormat="1" ht="15.75">
      <c r="A787" s="205" t="str">
        <f>IF(ISNA(VLOOKUP(D787,'Standard Smelter Names'!$B$3:$E$153,4,FALSE)),"",VLOOKUP(D787,'Standard Smelter Names'!$B$3:$E$153,4,FALSE))</f>
        <v/>
      </c>
      <c r="B787" s="170"/>
      <c r="C787" s="184"/>
      <c r="D787" s="184" t="str">
        <f t="shared" si="24"/>
        <v/>
      </c>
      <c r="E787" s="170" t="str">
        <f t="shared" si="25"/>
        <v/>
      </c>
      <c r="F787" s="170"/>
      <c r="G787" s="170"/>
      <c r="H787" s="170"/>
      <c r="I787" s="170"/>
      <c r="J787" s="170"/>
      <c r="K787" s="170"/>
      <c r="L787" s="170"/>
      <c r="M787" s="170"/>
      <c r="N787" s="170"/>
      <c r="O787" s="201"/>
    </row>
    <row r="788" spans="1:15" s="139" customFormat="1" ht="15.75">
      <c r="A788" s="205" t="str">
        <f>IF(ISNA(VLOOKUP(D788,'Standard Smelter Names'!$B$3:$E$153,4,FALSE)),"",VLOOKUP(D788,'Standard Smelter Names'!$B$3:$E$153,4,FALSE))</f>
        <v/>
      </c>
      <c r="B788" s="170"/>
      <c r="C788" s="184"/>
      <c r="D788" s="184" t="str">
        <f t="shared" si="24"/>
        <v/>
      </c>
      <c r="E788" s="170" t="str">
        <f t="shared" si="25"/>
        <v/>
      </c>
      <c r="F788" s="170"/>
      <c r="G788" s="170"/>
      <c r="H788" s="170"/>
      <c r="I788" s="170"/>
      <c r="J788" s="170"/>
      <c r="K788" s="170"/>
      <c r="L788" s="170"/>
      <c r="M788" s="170"/>
      <c r="N788" s="170"/>
      <c r="O788" s="201"/>
    </row>
    <row r="789" spans="1:15" s="139" customFormat="1" ht="15.75">
      <c r="A789" s="205" t="str">
        <f>IF(ISNA(VLOOKUP(D789,'Standard Smelter Names'!$B$3:$E$153,4,FALSE)),"",VLOOKUP(D789,'Standard Smelter Names'!$B$3:$E$153,4,FALSE))</f>
        <v/>
      </c>
      <c r="B789" s="170"/>
      <c r="C789" s="184"/>
      <c r="D789" s="184" t="str">
        <f t="shared" si="24"/>
        <v/>
      </c>
      <c r="E789" s="170" t="str">
        <f t="shared" si="25"/>
        <v/>
      </c>
      <c r="F789" s="170"/>
      <c r="G789" s="170"/>
      <c r="H789" s="170"/>
      <c r="I789" s="170"/>
      <c r="J789" s="170"/>
      <c r="K789" s="170"/>
      <c r="L789" s="170"/>
      <c r="M789" s="170"/>
      <c r="N789" s="170"/>
      <c r="O789" s="201"/>
    </row>
    <row r="790" spans="1:15" s="139" customFormat="1" ht="15.75">
      <c r="A790" s="205" t="str">
        <f>IF(ISNA(VLOOKUP(D790,'Standard Smelter Names'!$B$3:$E$153,4,FALSE)),"",VLOOKUP(D790,'Standard Smelter Names'!$B$3:$E$153,4,FALSE))</f>
        <v/>
      </c>
      <c r="B790" s="170"/>
      <c r="C790" s="184"/>
      <c r="D790" s="184" t="str">
        <f t="shared" si="24"/>
        <v/>
      </c>
      <c r="E790" s="170" t="str">
        <f t="shared" si="25"/>
        <v/>
      </c>
      <c r="F790" s="170"/>
      <c r="G790" s="170"/>
      <c r="H790" s="170"/>
      <c r="I790" s="170"/>
      <c r="J790" s="170"/>
      <c r="K790" s="170"/>
      <c r="L790" s="170"/>
      <c r="M790" s="170"/>
      <c r="N790" s="170"/>
      <c r="O790" s="201"/>
    </row>
    <row r="791" spans="1:15" s="139" customFormat="1" ht="15.75">
      <c r="A791" s="205" t="str">
        <f>IF(ISNA(VLOOKUP(D791,'Standard Smelter Names'!$B$3:$E$153,4,FALSE)),"",VLOOKUP(D791,'Standard Smelter Names'!$B$3:$E$153,4,FALSE))</f>
        <v/>
      </c>
      <c r="B791" s="170"/>
      <c r="C791" s="184"/>
      <c r="D791" s="184" t="str">
        <f t="shared" si="24"/>
        <v/>
      </c>
      <c r="E791" s="170" t="str">
        <f t="shared" si="25"/>
        <v/>
      </c>
      <c r="F791" s="170"/>
      <c r="G791" s="170"/>
      <c r="H791" s="170"/>
      <c r="I791" s="170"/>
      <c r="J791" s="170"/>
      <c r="K791" s="170"/>
      <c r="L791" s="170"/>
      <c r="M791" s="170"/>
      <c r="N791" s="170"/>
      <c r="O791" s="201"/>
    </row>
    <row r="792" spans="1:15" s="139" customFormat="1" ht="15.75">
      <c r="A792" s="205" t="str">
        <f>IF(ISNA(VLOOKUP(D792,'Standard Smelter Names'!$B$3:$E$153,4,FALSE)),"",VLOOKUP(D792,'Standard Smelter Names'!$B$3:$E$153,4,FALSE))</f>
        <v/>
      </c>
      <c r="B792" s="170"/>
      <c r="C792" s="184"/>
      <c r="D792" s="184" t="str">
        <f t="shared" si="24"/>
        <v/>
      </c>
      <c r="E792" s="170" t="str">
        <f t="shared" si="25"/>
        <v/>
      </c>
      <c r="F792" s="170"/>
      <c r="G792" s="170"/>
      <c r="H792" s="170"/>
      <c r="I792" s="170"/>
      <c r="J792" s="170"/>
      <c r="K792" s="170"/>
      <c r="L792" s="170"/>
      <c r="M792" s="170"/>
      <c r="N792" s="170"/>
      <c r="O792" s="201"/>
    </row>
    <row r="793" spans="1:15" s="139" customFormat="1" ht="15.75">
      <c r="A793" s="205" t="str">
        <f>IF(ISNA(VLOOKUP(D793,'Standard Smelter Names'!$B$3:$E$153,4,FALSE)),"",VLOOKUP(D793,'Standard Smelter Names'!$B$3:$E$153,4,FALSE))</f>
        <v/>
      </c>
      <c r="B793" s="170"/>
      <c r="C793" s="184"/>
      <c r="D793" s="184" t="str">
        <f t="shared" si="24"/>
        <v/>
      </c>
      <c r="E793" s="170" t="str">
        <f t="shared" si="25"/>
        <v/>
      </c>
      <c r="F793" s="170"/>
      <c r="G793" s="170"/>
      <c r="H793" s="170"/>
      <c r="I793" s="170"/>
      <c r="J793" s="170"/>
      <c r="K793" s="170"/>
      <c r="L793" s="170"/>
      <c r="M793" s="170"/>
      <c r="N793" s="170"/>
      <c r="O793" s="201"/>
    </row>
    <row r="794" spans="1:15" s="139" customFormat="1" ht="15.75">
      <c r="A794" s="205" t="str">
        <f>IF(ISNA(VLOOKUP(D794,'Standard Smelter Names'!$B$3:$E$153,4,FALSE)),"",VLOOKUP(D794,'Standard Smelter Names'!$B$3:$E$153,4,FALSE))</f>
        <v/>
      </c>
      <c r="B794" s="170"/>
      <c r="C794" s="184"/>
      <c r="D794" s="184" t="str">
        <f t="shared" si="24"/>
        <v/>
      </c>
      <c r="E794" s="170" t="str">
        <f t="shared" si="25"/>
        <v/>
      </c>
      <c r="F794" s="170"/>
      <c r="G794" s="170"/>
      <c r="H794" s="170"/>
      <c r="I794" s="170"/>
      <c r="J794" s="170"/>
      <c r="K794" s="170"/>
      <c r="L794" s="170"/>
      <c r="M794" s="170"/>
      <c r="N794" s="170"/>
      <c r="O794" s="201"/>
    </row>
    <row r="795" spans="1:15" s="139" customFormat="1" ht="15.75">
      <c r="A795" s="205" t="str">
        <f>IF(ISNA(VLOOKUP(D795,'Standard Smelter Names'!$B$3:$E$153,4,FALSE)),"",VLOOKUP(D795,'Standard Smelter Names'!$B$3:$E$153,4,FALSE))</f>
        <v/>
      </c>
      <c r="B795" s="170"/>
      <c r="C795" s="184"/>
      <c r="D795" s="184" t="str">
        <f t="shared" si="24"/>
        <v/>
      </c>
      <c r="E795" s="170" t="str">
        <f t="shared" si="25"/>
        <v/>
      </c>
      <c r="F795" s="170"/>
      <c r="G795" s="170"/>
      <c r="H795" s="170"/>
      <c r="I795" s="170"/>
      <c r="J795" s="170"/>
      <c r="K795" s="170"/>
      <c r="L795" s="170"/>
      <c r="M795" s="170"/>
      <c r="N795" s="170"/>
      <c r="O795" s="201"/>
    </row>
    <row r="796" spans="1:15" s="139" customFormat="1" ht="15.75">
      <c r="A796" s="205" t="str">
        <f>IF(ISNA(VLOOKUP(D796,'Standard Smelter Names'!$B$3:$E$153,4,FALSE)),"",VLOOKUP(D796,'Standard Smelter Names'!$B$3:$E$153,4,FALSE))</f>
        <v/>
      </c>
      <c r="B796" s="170"/>
      <c r="C796" s="184"/>
      <c r="D796" s="184" t="str">
        <f t="shared" si="24"/>
        <v/>
      </c>
      <c r="E796" s="170" t="str">
        <f t="shared" si="25"/>
        <v/>
      </c>
      <c r="F796" s="170"/>
      <c r="G796" s="170"/>
      <c r="H796" s="170"/>
      <c r="I796" s="170"/>
      <c r="J796" s="170"/>
      <c r="K796" s="170"/>
      <c r="L796" s="170"/>
      <c r="M796" s="170"/>
      <c r="N796" s="170"/>
      <c r="O796" s="201"/>
    </row>
    <row r="797" spans="1:15" s="139" customFormat="1" ht="15.75">
      <c r="A797" s="205" t="str">
        <f>IF(ISNA(VLOOKUP(D797,'Standard Smelter Names'!$B$3:$E$153,4,FALSE)),"",VLOOKUP(D797,'Standard Smelter Names'!$B$3:$E$153,4,FALSE))</f>
        <v/>
      </c>
      <c r="B797" s="170"/>
      <c r="C797" s="184"/>
      <c r="D797" s="184" t="str">
        <f t="shared" si="24"/>
        <v/>
      </c>
      <c r="E797" s="170" t="str">
        <f t="shared" si="25"/>
        <v/>
      </c>
      <c r="F797" s="170"/>
      <c r="G797" s="170"/>
      <c r="H797" s="170"/>
      <c r="I797" s="170"/>
      <c r="J797" s="170"/>
      <c r="K797" s="170"/>
      <c r="L797" s="170"/>
      <c r="M797" s="170"/>
      <c r="N797" s="170"/>
      <c r="O797" s="201"/>
    </row>
    <row r="798" spans="1:15" s="139" customFormat="1" ht="15.75">
      <c r="A798" s="205" t="str">
        <f>IF(ISNA(VLOOKUP(D798,'Standard Smelter Names'!$B$3:$E$153,4,FALSE)),"",VLOOKUP(D798,'Standard Smelter Names'!$B$3:$E$153,4,FALSE))</f>
        <v/>
      </c>
      <c r="B798" s="170"/>
      <c r="C798" s="184"/>
      <c r="D798" s="184" t="str">
        <f t="shared" si="24"/>
        <v/>
      </c>
      <c r="E798" s="170" t="str">
        <f t="shared" si="25"/>
        <v/>
      </c>
      <c r="F798" s="170"/>
      <c r="G798" s="170"/>
      <c r="H798" s="170"/>
      <c r="I798" s="170"/>
      <c r="J798" s="170"/>
      <c r="K798" s="170"/>
      <c r="L798" s="170"/>
      <c r="M798" s="170"/>
      <c r="N798" s="170"/>
      <c r="O798" s="201"/>
    </row>
    <row r="799" spans="1:15" s="139" customFormat="1" ht="15.75">
      <c r="A799" s="205" t="str">
        <f>IF(ISNA(VLOOKUP(D799,'Standard Smelter Names'!$B$3:$E$153,4,FALSE)),"",VLOOKUP(D799,'Standard Smelter Names'!$B$3:$E$153,4,FALSE))</f>
        <v/>
      </c>
      <c r="B799" s="170"/>
      <c r="C799" s="184"/>
      <c r="D799" s="184" t="str">
        <f t="shared" si="24"/>
        <v/>
      </c>
      <c r="E799" s="170" t="str">
        <f t="shared" si="25"/>
        <v/>
      </c>
      <c r="F799" s="170"/>
      <c r="G799" s="170"/>
      <c r="H799" s="170"/>
      <c r="I799" s="170"/>
      <c r="J799" s="170"/>
      <c r="K799" s="170"/>
      <c r="L799" s="170"/>
      <c r="M799" s="170"/>
      <c r="N799" s="170"/>
      <c r="O799" s="201"/>
    </row>
    <row r="800" spans="1:15" s="139" customFormat="1" ht="15.75">
      <c r="A800" s="205" t="str">
        <f>IF(ISNA(VLOOKUP(D800,'Standard Smelter Names'!$B$3:$E$153,4,FALSE)),"",VLOOKUP(D800,'Standard Smelter Names'!$B$3:$E$153,4,FALSE))</f>
        <v/>
      </c>
      <c r="B800" s="170"/>
      <c r="C800" s="184"/>
      <c r="D800" s="184" t="str">
        <f t="shared" si="24"/>
        <v/>
      </c>
      <c r="E800" s="170" t="str">
        <f t="shared" si="25"/>
        <v/>
      </c>
      <c r="F800" s="170"/>
      <c r="G800" s="170"/>
      <c r="H800" s="170"/>
      <c r="I800" s="170"/>
      <c r="J800" s="170"/>
      <c r="K800" s="170"/>
      <c r="L800" s="170"/>
      <c r="M800" s="170"/>
      <c r="N800" s="170"/>
      <c r="O800" s="201"/>
    </row>
    <row r="801" spans="1:15" s="139" customFormat="1" ht="15.75">
      <c r="A801" s="205" t="str">
        <f>IF(ISNA(VLOOKUP(D801,'Standard Smelter Names'!$B$3:$E$153,4,FALSE)),"",VLOOKUP(D801,'Standard Smelter Names'!$B$3:$E$153,4,FALSE))</f>
        <v/>
      </c>
      <c r="B801" s="170"/>
      <c r="C801" s="184"/>
      <c r="D801" s="184" t="str">
        <f t="shared" si="24"/>
        <v/>
      </c>
      <c r="E801" s="170" t="str">
        <f t="shared" si="25"/>
        <v/>
      </c>
      <c r="F801" s="170"/>
      <c r="G801" s="170"/>
      <c r="H801" s="170"/>
      <c r="I801" s="170"/>
      <c r="J801" s="170"/>
      <c r="K801" s="170"/>
      <c r="L801" s="170"/>
      <c r="M801" s="170"/>
      <c r="N801" s="170"/>
      <c r="O801" s="201"/>
    </row>
    <row r="802" spans="1:15" s="139" customFormat="1" ht="15.75">
      <c r="A802" s="205" t="str">
        <f>IF(ISNA(VLOOKUP(D802,'Standard Smelter Names'!$B$3:$E$153,4,FALSE)),"",VLOOKUP(D802,'Standard Smelter Names'!$B$3:$E$153,4,FALSE))</f>
        <v/>
      </c>
      <c r="B802" s="170"/>
      <c r="C802" s="184"/>
      <c r="D802" s="184" t="str">
        <f t="shared" si="24"/>
        <v/>
      </c>
      <c r="E802" s="170" t="str">
        <f t="shared" si="25"/>
        <v/>
      </c>
      <c r="F802" s="170"/>
      <c r="G802" s="170"/>
      <c r="H802" s="170"/>
      <c r="I802" s="170"/>
      <c r="J802" s="170"/>
      <c r="K802" s="170"/>
      <c r="L802" s="170"/>
      <c r="M802" s="170"/>
      <c r="N802" s="170"/>
      <c r="O802" s="201"/>
    </row>
    <row r="803" spans="1:15" s="139" customFormat="1" ht="15.75">
      <c r="A803" s="205" t="str">
        <f>IF(ISNA(VLOOKUP(D803,'Standard Smelter Names'!$B$3:$E$153,4,FALSE)),"",VLOOKUP(D803,'Standard Smelter Names'!$B$3:$E$153,4,FALSE))</f>
        <v/>
      </c>
      <c r="B803" s="170"/>
      <c r="C803" s="184"/>
      <c r="D803" s="184" t="str">
        <f t="shared" si="24"/>
        <v/>
      </c>
      <c r="E803" s="170" t="str">
        <f t="shared" si="25"/>
        <v/>
      </c>
      <c r="F803" s="170"/>
      <c r="G803" s="170"/>
      <c r="H803" s="170"/>
      <c r="I803" s="170"/>
      <c r="J803" s="170"/>
      <c r="K803" s="170"/>
      <c r="L803" s="170"/>
      <c r="M803" s="170"/>
      <c r="N803" s="170"/>
      <c r="O803" s="201"/>
    </row>
    <row r="804" spans="1:15" s="139" customFormat="1" ht="15.75">
      <c r="A804" s="205" t="str">
        <f>IF(ISNA(VLOOKUP(D804,'Standard Smelter Names'!$B$3:$E$153,4,FALSE)),"",VLOOKUP(D804,'Standard Smelter Names'!$B$3:$E$153,4,FALSE))</f>
        <v/>
      </c>
      <c r="B804" s="170"/>
      <c r="C804" s="184"/>
      <c r="D804" s="184" t="str">
        <f t="shared" si="24"/>
        <v/>
      </c>
      <c r="E804" s="170" t="str">
        <f t="shared" si="25"/>
        <v/>
      </c>
      <c r="F804" s="170"/>
      <c r="G804" s="170"/>
      <c r="H804" s="170"/>
      <c r="I804" s="170"/>
      <c r="J804" s="170"/>
      <c r="K804" s="170"/>
      <c r="L804" s="170"/>
      <c r="M804" s="170"/>
      <c r="N804" s="170"/>
      <c r="O804" s="201"/>
    </row>
    <row r="805" spans="1:15" s="139" customFormat="1" ht="15.75">
      <c r="A805" s="205" t="str">
        <f>IF(ISNA(VLOOKUP(D805,'Standard Smelter Names'!$B$3:$E$153,4,FALSE)),"",VLOOKUP(D805,'Standard Smelter Names'!$B$3:$E$153,4,FALSE))</f>
        <v/>
      </c>
      <c r="B805" s="170"/>
      <c r="C805" s="184"/>
      <c r="D805" s="184" t="str">
        <f t="shared" si="24"/>
        <v/>
      </c>
      <c r="E805" s="170" t="str">
        <f t="shared" si="25"/>
        <v/>
      </c>
      <c r="F805" s="170"/>
      <c r="G805" s="170"/>
      <c r="H805" s="170"/>
      <c r="I805" s="170"/>
      <c r="J805" s="170"/>
      <c r="K805" s="170"/>
      <c r="L805" s="170"/>
      <c r="M805" s="170"/>
      <c r="N805" s="170"/>
      <c r="O805" s="201"/>
    </row>
    <row r="806" spans="1:15" s="139" customFormat="1" ht="15.75">
      <c r="A806" s="205" t="str">
        <f>IF(ISNA(VLOOKUP(D806,'Standard Smelter Names'!$B$3:$E$153,4,FALSE)),"",VLOOKUP(D806,'Standard Smelter Names'!$B$3:$E$153,4,FALSE))</f>
        <v/>
      </c>
      <c r="B806" s="170"/>
      <c r="C806" s="184"/>
      <c r="D806" s="184" t="str">
        <f t="shared" si="24"/>
        <v/>
      </c>
      <c r="E806" s="170" t="str">
        <f t="shared" si="25"/>
        <v/>
      </c>
      <c r="F806" s="170"/>
      <c r="G806" s="170"/>
      <c r="H806" s="170"/>
      <c r="I806" s="170"/>
      <c r="J806" s="170"/>
      <c r="K806" s="170"/>
      <c r="L806" s="170"/>
      <c r="M806" s="170"/>
      <c r="N806" s="170"/>
      <c r="O806" s="201"/>
    </row>
    <row r="807" spans="1:15" s="139" customFormat="1" ht="15.75">
      <c r="A807" s="205" t="str">
        <f>IF(ISNA(VLOOKUP(D807,'Standard Smelter Names'!$B$3:$E$153,4,FALSE)),"",VLOOKUP(D807,'Standard Smelter Names'!$B$3:$E$153,4,FALSE))</f>
        <v/>
      </c>
      <c r="B807" s="170"/>
      <c r="C807" s="184"/>
      <c r="D807" s="184" t="str">
        <f t="shared" si="24"/>
        <v/>
      </c>
      <c r="E807" s="170" t="str">
        <f t="shared" si="25"/>
        <v/>
      </c>
      <c r="F807" s="170"/>
      <c r="G807" s="170"/>
      <c r="H807" s="170"/>
      <c r="I807" s="170"/>
      <c r="J807" s="170"/>
      <c r="K807" s="170"/>
      <c r="L807" s="170"/>
      <c r="M807" s="170"/>
      <c r="N807" s="170"/>
      <c r="O807" s="201"/>
    </row>
    <row r="808" spans="1:15" s="139" customFormat="1" ht="15.75">
      <c r="A808" s="205" t="str">
        <f>IF(ISNA(VLOOKUP(D808,'Standard Smelter Names'!$B$3:$E$153,4,FALSE)),"",VLOOKUP(D808,'Standard Smelter Names'!$B$3:$E$153,4,FALSE))</f>
        <v/>
      </c>
      <c r="B808" s="170"/>
      <c r="C808" s="184"/>
      <c r="D808" s="184" t="str">
        <f t="shared" si="24"/>
        <v/>
      </c>
      <c r="E808" s="170" t="str">
        <f t="shared" si="25"/>
        <v/>
      </c>
      <c r="F808" s="170"/>
      <c r="G808" s="170"/>
      <c r="H808" s="170"/>
      <c r="I808" s="170"/>
      <c r="J808" s="170"/>
      <c r="K808" s="170"/>
      <c r="L808" s="170"/>
      <c r="M808" s="170"/>
      <c r="N808" s="170"/>
      <c r="O808" s="201"/>
    </row>
    <row r="809" spans="1:15" s="139" customFormat="1" ht="15.75">
      <c r="A809" s="205" t="str">
        <f>IF(ISNA(VLOOKUP(D809,'Standard Smelter Names'!$B$3:$E$153,4,FALSE)),"",VLOOKUP(D809,'Standard Smelter Names'!$B$3:$E$153,4,FALSE))</f>
        <v/>
      </c>
      <c r="B809" s="170"/>
      <c r="C809" s="184"/>
      <c r="D809" s="184" t="str">
        <f t="shared" si="24"/>
        <v/>
      </c>
      <c r="E809" s="170" t="str">
        <f t="shared" si="25"/>
        <v/>
      </c>
      <c r="F809" s="170"/>
      <c r="G809" s="170"/>
      <c r="H809" s="170"/>
      <c r="I809" s="170"/>
      <c r="J809" s="170"/>
      <c r="K809" s="170"/>
      <c r="L809" s="170"/>
      <c r="M809" s="170"/>
      <c r="N809" s="170"/>
      <c r="O809" s="201"/>
    </row>
    <row r="810" spans="1:15" s="139" customFormat="1" ht="15.75">
      <c r="A810" s="205" t="str">
        <f>IF(ISNA(VLOOKUP(D810,'Standard Smelter Names'!$B$3:$E$153,4,FALSE)),"",VLOOKUP(D810,'Standard Smelter Names'!$B$3:$E$153,4,FALSE))</f>
        <v/>
      </c>
      <c r="B810" s="170"/>
      <c r="C810" s="184"/>
      <c r="D810" s="184" t="str">
        <f t="shared" si="24"/>
        <v/>
      </c>
      <c r="E810" s="170" t="str">
        <f t="shared" si="25"/>
        <v/>
      </c>
      <c r="F810" s="170"/>
      <c r="G810" s="170"/>
      <c r="H810" s="170"/>
      <c r="I810" s="170"/>
      <c r="J810" s="170"/>
      <c r="K810" s="170"/>
      <c r="L810" s="170"/>
      <c r="M810" s="170"/>
      <c r="N810" s="170"/>
      <c r="O810" s="201"/>
    </row>
    <row r="811" spans="1:15" s="139" customFormat="1" ht="15.75">
      <c r="A811" s="205" t="str">
        <f>IF(ISNA(VLOOKUP(D811,'Standard Smelter Names'!$B$3:$E$153,4,FALSE)),"",VLOOKUP(D811,'Standard Smelter Names'!$B$3:$E$153,4,FALSE))</f>
        <v/>
      </c>
      <c r="B811" s="170"/>
      <c r="C811" s="184"/>
      <c r="D811" s="184" t="str">
        <f t="shared" si="24"/>
        <v/>
      </c>
      <c r="E811" s="170" t="str">
        <f t="shared" si="25"/>
        <v/>
      </c>
      <c r="F811" s="170"/>
      <c r="G811" s="170"/>
      <c r="H811" s="170"/>
      <c r="I811" s="170"/>
      <c r="J811" s="170"/>
      <c r="K811" s="170"/>
      <c r="L811" s="170"/>
      <c r="M811" s="170"/>
      <c r="N811" s="170"/>
      <c r="O811" s="201"/>
    </row>
    <row r="812" spans="1:15" s="139" customFormat="1" ht="15.75">
      <c r="A812" s="205" t="str">
        <f>IF(ISNA(VLOOKUP(D812,'Standard Smelter Names'!$B$3:$E$153,4,FALSE)),"",VLOOKUP(D812,'Standard Smelter Names'!$B$3:$E$153,4,FALSE))</f>
        <v/>
      </c>
      <c r="B812" s="170"/>
      <c r="C812" s="184"/>
      <c r="D812" s="184" t="str">
        <f t="shared" si="24"/>
        <v/>
      </c>
      <c r="E812" s="170" t="str">
        <f t="shared" si="25"/>
        <v/>
      </c>
      <c r="F812" s="170"/>
      <c r="G812" s="170"/>
      <c r="H812" s="170"/>
      <c r="I812" s="170"/>
      <c r="J812" s="170"/>
      <c r="K812" s="170"/>
      <c r="L812" s="170"/>
      <c r="M812" s="170"/>
      <c r="N812" s="170"/>
      <c r="O812" s="201"/>
    </row>
    <row r="813" spans="1:15" s="139" customFormat="1" ht="15.75">
      <c r="A813" s="205" t="str">
        <f>IF(ISNA(VLOOKUP(D813,'Standard Smelter Names'!$B$3:$E$153,4,FALSE)),"",VLOOKUP(D813,'Standard Smelter Names'!$B$3:$E$153,4,FALSE))</f>
        <v/>
      </c>
      <c r="B813" s="170"/>
      <c r="C813" s="184"/>
      <c r="D813" s="184" t="str">
        <f t="shared" si="24"/>
        <v/>
      </c>
      <c r="E813" s="170" t="str">
        <f t="shared" si="25"/>
        <v/>
      </c>
      <c r="F813" s="170"/>
      <c r="G813" s="170"/>
      <c r="H813" s="170"/>
      <c r="I813" s="170"/>
      <c r="J813" s="170"/>
      <c r="K813" s="170"/>
      <c r="L813" s="170"/>
      <c r="M813" s="170"/>
      <c r="N813" s="170"/>
      <c r="O813" s="201"/>
    </row>
    <row r="814" spans="1:15" s="139" customFormat="1" ht="15.75">
      <c r="A814" s="205" t="str">
        <f>IF(ISNA(VLOOKUP(D814,'Standard Smelter Names'!$B$3:$E$153,4,FALSE)),"",VLOOKUP(D814,'Standard Smelter Names'!$B$3:$E$153,4,FALSE))</f>
        <v/>
      </c>
      <c r="B814" s="170"/>
      <c r="C814" s="184"/>
      <c r="D814" s="184" t="str">
        <f t="shared" si="24"/>
        <v/>
      </c>
      <c r="E814" s="170" t="str">
        <f t="shared" si="25"/>
        <v/>
      </c>
      <c r="F814" s="170"/>
      <c r="G814" s="170"/>
      <c r="H814" s="170"/>
      <c r="I814" s="170"/>
      <c r="J814" s="170"/>
      <c r="K814" s="170"/>
      <c r="L814" s="170"/>
      <c r="M814" s="170"/>
      <c r="N814" s="170"/>
      <c r="O814" s="201"/>
    </row>
    <row r="815" spans="1:15" s="139" customFormat="1" ht="15.75">
      <c r="A815" s="205" t="str">
        <f>IF(ISNA(VLOOKUP(D815,'Standard Smelter Names'!$B$3:$E$153,4,FALSE)),"",VLOOKUP(D815,'Standard Smelter Names'!$B$3:$E$153,4,FALSE))</f>
        <v/>
      </c>
      <c r="B815" s="170"/>
      <c r="C815" s="184"/>
      <c r="D815" s="184" t="str">
        <f t="shared" si="24"/>
        <v/>
      </c>
      <c r="E815" s="170" t="str">
        <f t="shared" si="25"/>
        <v/>
      </c>
      <c r="F815" s="170"/>
      <c r="G815" s="170"/>
      <c r="H815" s="170"/>
      <c r="I815" s="170"/>
      <c r="J815" s="170"/>
      <c r="K815" s="170"/>
      <c r="L815" s="170"/>
      <c r="M815" s="170"/>
      <c r="N815" s="170"/>
      <c r="O815" s="201"/>
    </row>
    <row r="816" spans="1:15" s="139" customFormat="1" ht="15.75">
      <c r="A816" s="205" t="str">
        <f>IF(ISNA(VLOOKUP(D816,'Standard Smelter Names'!$B$3:$E$153,4,FALSE)),"",VLOOKUP(D816,'Standard Smelter Names'!$B$3:$E$153,4,FALSE))</f>
        <v/>
      </c>
      <c r="B816" s="170"/>
      <c r="C816" s="184"/>
      <c r="D816" s="184" t="str">
        <f t="shared" si="24"/>
        <v/>
      </c>
      <c r="E816" s="170" t="str">
        <f t="shared" si="25"/>
        <v/>
      </c>
      <c r="F816" s="170"/>
      <c r="G816" s="170"/>
      <c r="H816" s="170"/>
      <c r="I816" s="170"/>
      <c r="J816" s="170"/>
      <c r="K816" s="170"/>
      <c r="L816" s="170"/>
      <c r="M816" s="170"/>
      <c r="N816" s="170"/>
      <c r="O816" s="201"/>
    </row>
    <row r="817" spans="1:15" s="139" customFormat="1" ht="15.75">
      <c r="A817" s="205" t="str">
        <f>IF(ISNA(VLOOKUP(D817,'Standard Smelter Names'!$B$3:$E$153,4,FALSE)),"",VLOOKUP(D817,'Standard Smelter Names'!$B$3:$E$153,4,FALSE))</f>
        <v/>
      </c>
      <c r="B817" s="170"/>
      <c r="C817" s="184"/>
      <c r="D817" s="184" t="str">
        <f t="shared" si="24"/>
        <v/>
      </c>
      <c r="E817" s="170" t="str">
        <f t="shared" si="25"/>
        <v/>
      </c>
      <c r="F817" s="170"/>
      <c r="G817" s="170"/>
      <c r="H817" s="170"/>
      <c r="I817" s="170"/>
      <c r="J817" s="170"/>
      <c r="K817" s="170"/>
      <c r="L817" s="170"/>
      <c r="M817" s="170"/>
      <c r="N817" s="170"/>
      <c r="O817" s="201"/>
    </row>
    <row r="818" spans="1:15" s="139" customFormat="1" ht="15.75">
      <c r="A818" s="205" t="str">
        <f>IF(ISNA(VLOOKUP(D818,'Standard Smelter Names'!$B$3:$E$153,4,FALSE)),"",VLOOKUP(D818,'Standard Smelter Names'!$B$3:$E$153,4,FALSE))</f>
        <v/>
      </c>
      <c r="B818" s="170"/>
      <c r="C818" s="184"/>
      <c r="D818" s="184" t="str">
        <f t="shared" si="24"/>
        <v/>
      </c>
      <c r="E818" s="170" t="str">
        <f t="shared" si="25"/>
        <v/>
      </c>
      <c r="F818" s="170"/>
      <c r="G818" s="170"/>
      <c r="H818" s="170"/>
      <c r="I818" s="170"/>
      <c r="J818" s="170"/>
      <c r="K818" s="170"/>
      <c r="L818" s="170"/>
      <c r="M818" s="170"/>
      <c r="N818" s="170"/>
      <c r="O818" s="201"/>
    </row>
    <row r="819" spans="1:15" s="139" customFormat="1" ht="15.75">
      <c r="A819" s="205" t="str">
        <f>IF(ISNA(VLOOKUP(D819,'Standard Smelter Names'!$B$3:$E$153,4,FALSE)),"",VLOOKUP(D819,'Standard Smelter Names'!$B$3:$E$153,4,FALSE))</f>
        <v/>
      </c>
      <c r="B819" s="170"/>
      <c r="C819" s="184"/>
      <c r="D819" s="184" t="str">
        <f t="shared" si="24"/>
        <v/>
      </c>
      <c r="E819" s="170" t="str">
        <f t="shared" si="25"/>
        <v/>
      </c>
      <c r="F819" s="170"/>
      <c r="G819" s="170"/>
      <c r="H819" s="170"/>
      <c r="I819" s="170"/>
      <c r="J819" s="170"/>
      <c r="K819" s="170"/>
      <c r="L819" s="170"/>
      <c r="M819" s="170"/>
      <c r="N819" s="170"/>
      <c r="O819" s="201"/>
    </row>
    <row r="820" spans="1:15" s="139" customFormat="1" ht="15.75">
      <c r="A820" s="205" t="str">
        <f>IF(ISNA(VLOOKUP(D820,'Standard Smelter Names'!$B$3:$E$153,4,FALSE)),"",VLOOKUP(D820,'Standard Smelter Names'!$B$3:$E$153,4,FALSE))</f>
        <v/>
      </c>
      <c r="B820" s="170"/>
      <c r="C820" s="184"/>
      <c r="D820" s="184" t="str">
        <f t="shared" si="24"/>
        <v/>
      </c>
      <c r="E820" s="170" t="str">
        <f t="shared" si="25"/>
        <v/>
      </c>
      <c r="F820" s="170"/>
      <c r="G820" s="170"/>
      <c r="H820" s="170"/>
      <c r="I820" s="170"/>
      <c r="J820" s="170"/>
      <c r="K820" s="170"/>
      <c r="L820" s="170"/>
      <c r="M820" s="170"/>
      <c r="N820" s="170"/>
      <c r="O820" s="201"/>
    </row>
    <row r="821" spans="1:15" s="139" customFormat="1" ht="15.75">
      <c r="A821" s="205" t="str">
        <f>IF(ISNA(VLOOKUP(D821,'Standard Smelter Names'!$B$3:$E$153,4,FALSE)),"",VLOOKUP(D821,'Standard Smelter Names'!$B$3:$E$153,4,FALSE))</f>
        <v/>
      </c>
      <c r="B821" s="170"/>
      <c r="C821" s="184"/>
      <c r="D821" s="184" t="str">
        <f t="shared" si="24"/>
        <v/>
      </c>
      <c r="E821" s="170" t="str">
        <f t="shared" si="25"/>
        <v/>
      </c>
      <c r="F821" s="170"/>
      <c r="G821" s="170"/>
      <c r="H821" s="170"/>
      <c r="I821" s="170"/>
      <c r="J821" s="170"/>
      <c r="K821" s="170"/>
      <c r="L821" s="170"/>
      <c r="M821" s="170"/>
      <c r="N821" s="170"/>
      <c r="O821" s="201"/>
    </row>
    <row r="822" spans="1:15" s="139" customFormat="1" ht="15.75">
      <c r="A822" s="205" t="str">
        <f>IF(ISNA(VLOOKUP(D822,'Standard Smelter Names'!$B$3:$E$153,4,FALSE)),"",VLOOKUP(D822,'Standard Smelter Names'!$B$3:$E$153,4,FALSE))</f>
        <v/>
      </c>
      <c r="B822" s="170"/>
      <c r="C822" s="184"/>
      <c r="D822" s="184" t="str">
        <f t="shared" si="24"/>
        <v/>
      </c>
      <c r="E822" s="170" t="str">
        <f t="shared" si="25"/>
        <v/>
      </c>
      <c r="F822" s="170"/>
      <c r="G822" s="170"/>
      <c r="H822" s="170"/>
      <c r="I822" s="170"/>
      <c r="J822" s="170"/>
      <c r="K822" s="170"/>
      <c r="L822" s="170"/>
      <c r="M822" s="170"/>
      <c r="N822" s="170"/>
      <c r="O822" s="201"/>
    </row>
    <row r="823" spans="1:15" s="139" customFormat="1" ht="15.75">
      <c r="A823" s="205" t="str">
        <f>IF(ISNA(VLOOKUP(D823,'Standard Smelter Names'!$B$3:$E$153,4,FALSE)),"",VLOOKUP(D823,'Standard Smelter Names'!$B$3:$E$153,4,FALSE))</f>
        <v/>
      </c>
      <c r="B823" s="170"/>
      <c r="C823" s="184"/>
      <c r="D823" s="184" t="str">
        <f t="shared" si="24"/>
        <v/>
      </c>
      <c r="E823" s="170" t="str">
        <f t="shared" si="25"/>
        <v/>
      </c>
      <c r="F823" s="170"/>
      <c r="G823" s="170"/>
      <c r="H823" s="170"/>
      <c r="I823" s="170"/>
      <c r="J823" s="170"/>
      <c r="K823" s="170"/>
      <c r="L823" s="170"/>
      <c r="M823" s="170"/>
      <c r="N823" s="170"/>
      <c r="O823" s="201"/>
    </row>
    <row r="824" spans="1:15" s="139" customFormat="1" ht="15.75">
      <c r="A824" s="205" t="str">
        <f>IF(ISNA(VLOOKUP(D824,'Standard Smelter Names'!$B$3:$E$153,4,FALSE)),"",VLOOKUP(D824,'Standard Smelter Names'!$B$3:$E$153,4,FALSE))</f>
        <v/>
      </c>
      <c r="B824" s="170"/>
      <c r="C824" s="184"/>
      <c r="D824" s="184" t="str">
        <f t="shared" si="24"/>
        <v/>
      </c>
      <c r="E824" s="170" t="str">
        <f t="shared" si="25"/>
        <v/>
      </c>
      <c r="F824" s="170"/>
      <c r="G824" s="170"/>
      <c r="H824" s="170"/>
      <c r="I824" s="170"/>
      <c r="J824" s="170"/>
      <c r="K824" s="170"/>
      <c r="L824" s="170"/>
      <c r="M824" s="170"/>
      <c r="N824" s="170"/>
      <c r="O824" s="201"/>
    </row>
    <row r="825" spans="1:15" s="139" customFormat="1" ht="15.75">
      <c r="A825" s="205" t="str">
        <f>IF(ISNA(VLOOKUP(D825,'Standard Smelter Names'!$B$3:$E$153,4,FALSE)),"",VLOOKUP(D825,'Standard Smelter Names'!$B$3:$E$153,4,FALSE))</f>
        <v/>
      </c>
      <c r="B825" s="170"/>
      <c r="C825" s="184"/>
      <c r="D825" s="184" t="str">
        <f t="shared" si="24"/>
        <v/>
      </c>
      <c r="E825" s="170" t="str">
        <f t="shared" si="25"/>
        <v/>
      </c>
      <c r="F825" s="170"/>
      <c r="G825" s="170"/>
      <c r="H825" s="170"/>
      <c r="I825" s="170"/>
      <c r="J825" s="170"/>
      <c r="K825" s="170"/>
      <c r="L825" s="170"/>
      <c r="M825" s="170"/>
      <c r="N825" s="170"/>
      <c r="O825" s="201"/>
    </row>
    <row r="826" spans="1:15" s="139" customFormat="1" ht="15.75">
      <c r="A826" s="205" t="str">
        <f>IF(ISNA(VLOOKUP(D826,'Standard Smelter Names'!$B$3:$E$153,4,FALSE)),"",VLOOKUP(D826,'Standard Smelter Names'!$B$3:$E$153,4,FALSE))</f>
        <v/>
      </c>
      <c r="B826" s="170"/>
      <c r="C826" s="184"/>
      <c r="D826" s="184" t="str">
        <f t="shared" si="24"/>
        <v/>
      </c>
      <c r="E826" s="170" t="str">
        <f t="shared" si="25"/>
        <v/>
      </c>
      <c r="F826" s="170"/>
      <c r="G826" s="170"/>
      <c r="H826" s="170"/>
      <c r="I826" s="170"/>
      <c r="J826" s="170"/>
      <c r="K826" s="170"/>
      <c r="L826" s="170"/>
      <c r="M826" s="170"/>
      <c r="N826" s="170"/>
      <c r="O826" s="201"/>
    </row>
    <row r="827" spans="1:15" s="139" customFormat="1" ht="15.75">
      <c r="A827" s="205" t="str">
        <f>IF(ISNA(VLOOKUP(D827,'Standard Smelter Names'!$B$3:$E$153,4,FALSE)),"",VLOOKUP(D827,'Standard Smelter Names'!$B$3:$E$153,4,FALSE))</f>
        <v/>
      </c>
      <c r="B827" s="170"/>
      <c r="C827" s="184"/>
      <c r="D827" s="184" t="str">
        <f t="shared" si="24"/>
        <v/>
      </c>
      <c r="E827" s="170" t="str">
        <f t="shared" si="25"/>
        <v/>
      </c>
      <c r="F827" s="170"/>
      <c r="G827" s="170"/>
      <c r="H827" s="170"/>
      <c r="I827" s="170"/>
      <c r="J827" s="170"/>
      <c r="K827" s="170"/>
      <c r="L827" s="170"/>
      <c r="M827" s="170"/>
      <c r="N827" s="170"/>
      <c r="O827" s="201"/>
    </row>
    <row r="828" spans="1:15" s="139" customFormat="1" ht="15.75">
      <c r="A828" s="205" t="str">
        <f>IF(ISNA(VLOOKUP(D828,'Standard Smelter Names'!$B$3:$E$153,4,FALSE)),"",VLOOKUP(D828,'Standard Smelter Names'!$B$3:$E$153,4,FALSE))</f>
        <v/>
      </c>
      <c r="B828" s="170"/>
      <c r="C828" s="184"/>
      <c r="D828" s="184" t="str">
        <f t="shared" si="24"/>
        <v/>
      </c>
      <c r="E828" s="170" t="str">
        <f t="shared" si="25"/>
        <v/>
      </c>
      <c r="F828" s="170"/>
      <c r="G828" s="170"/>
      <c r="H828" s="170"/>
      <c r="I828" s="170"/>
      <c r="J828" s="170"/>
      <c r="K828" s="170"/>
      <c r="L828" s="170"/>
      <c r="M828" s="170"/>
      <c r="N828" s="170"/>
      <c r="O828" s="201"/>
    </row>
    <row r="829" spans="1:15" s="139" customFormat="1" ht="15.75">
      <c r="A829" s="205" t="str">
        <f>IF(ISNA(VLOOKUP(D829,'Standard Smelter Names'!$B$3:$E$153,4,FALSE)),"",VLOOKUP(D829,'Standard Smelter Names'!$B$3:$E$153,4,FALSE))</f>
        <v/>
      </c>
      <c r="B829" s="170"/>
      <c r="C829" s="184"/>
      <c r="D829" s="184" t="str">
        <f t="shared" si="24"/>
        <v/>
      </c>
      <c r="E829" s="170" t="str">
        <f t="shared" si="25"/>
        <v/>
      </c>
      <c r="F829" s="170"/>
      <c r="G829" s="170"/>
      <c r="H829" s="170"/>
      <c r="I829" s="170"/>
      <c r="J829" s="170"/>
      <c r="K829" s="170"/>
      <c r="L829" s="170"/>
      <c r="M829" s="170"/>
      <c r="N829" s="170"/>
      <c r="O829" s="201"/>
    </row>
    <row r="830" spans="1:15" s="139" customFormat="1" ht="15.75">
      <c r="A830" s="205" t="str">
        <f>IF(ISNA(VLOOKUP(D830,'Standard Smelter Names'!$B$3:$E$153,4,FALSE)),"",VLOOKUP(D830,'Standard Smelter Names'!$B$3:$E$153,4,FALSE))</f>
        <v/>
      </c>
      <c r="B830" s="170"/>
      <c r="C830" s="184"/>
      <c r="D830" s="184" t="str">
        <f t="shared" si="24"/>
        <v/>
      </c>
      <c r="E830" s="170" t="str">
        <f t="shared" si="25"/>
        <v/>
      </c>
      <c r="F830" s="170"/>
      <c r="G830" s="170"/>
      <c r="H830" s="170"/>
      <c r="I830" s="170"/>
      <c r="J830" s="170"/>
      <c r="K830" s="170"/>
      <c r="L830" s="170"/>
      <c r="M830" s="170"/>
      <c r="N830" s="170"/>
      <c r="O830" s="201"/>
    </row>
    <row r="831" spans="1:15" s="139" customFormat="1" ht="15.75">
      <c r="A831" s="205" t="str">
        <f>IF(ISNA(VLOOKUP(D831,'Standard Smelter Names'!$B$3:$E$153,4,FALSE)),"",VLOOKUP(D831,'Standard Smelter Names'!$B$3:$E$153,4,FALSE))</f>
        <v/>
      </c>
      <c r="B831" s="170"/>
      <c r="C831" s="184"/>
      <c r="D831" s="184" t="str">
        <f t="shared" si="24"/>
        <v/>
      </c>
      <c r="E831" s="170" t="str">
        <f t="shared" si="25"/>
        <v/>
      </c>
      <c r="F831" s="170"/>
      <c r="G831" s="170"/>
      <c r="H831" s="170"/>
      <c r="I831" s="170"/>
      <c r="J831" s="170"/>
      <c r="K831" s="170"/>
      <c r="L831" s="170"/>
      <c r="M831" s="170"/>
      <c r="N831" s="170"/>
      <c r="O831" s="201"/>
    </row>
    <row r="832" spans="1:15" s="139" customFormat="1" ht="15.75">
      <c r="A832" s="205" t="str">
        <f>IF(ISNA(VLOOKUP(D832,'Standard Smelter Names'!$B$3:$E$153,4,FALSE)),"",VLOOKUP(D832,'Standard Smelter Names'!$B$3:$E$153,4,FALSE))</f>
        <v/>
      </c>
      <c r="B832" s="170"/>
      <c r="C832" s="184"/>
      <c r="D832" s="184" t="str">
        <f t="shared" si="24"/>
        <v/>
      </c>
      <c r="E832" s="170" t="str">
        <f t="shared" si="25"/>
        <v/>
      </c>
      <c r="F832" s="170"/>
      <c r="G832" s="170"/>
      <c r="H832" s="170"/>
      <c r="I832" s="170"/>
      <c r="J832" s="170"/>
      <c r="K832" s="170"/>
      <c r="L832" s="170"/>
      <c r="M832" s="170"/>
      <c r="N832" s="170"/>
      <c r="O832" s="201"/>
    </row>
    <row r="833" spans="1:15" s="139" customFormat="1" ht="15.75">
      <c r="A833" s="205" t="str">
        <f>IF(ISNA(VLOOKUP(D833,'Standard Smelter Names'!$B$3:$E$153,4,FALSE)),"",VLOOKUP(D833,'Standard Smelter Names'!$B$3:$E$153,4,FALSE))</f>
        <v/>
      </c>
      <c r="B833" s="170"/>
      <c r="C833" s="184"/>
      <c r="D833" s="184" t="str">
        <f t="shared" si="24"/>
        <v/>
      </c>
      <c r="E833" s="170" t="str">
        <f t="shared" si="25"/>
        <v/>
      </c>
      <c r="F833" s="170"/>
      <c r="G833" s="170"/>
      <c r="H833" s="170"/>
      <c r="I833" s="170"/>
      <c r="J833" s="170"/>
      <c r="K833" s="170"/>
      <c r="L833" s="170"/>
      <c r="M833" s="170"/>
      <c r="N833" s="170"/>
      <c r="O833" s="201"/>
    </row>
    <row r="834" spans="1:15" s="139" customFormat="1" ht="15.75">
      <c r="A834" s="205" t="str">
        <f>IF(ISNA(VLOOKUP(D834,'Standard Smelter Names'!$B$3:$E$153,4,FALSE)),"",VLOOKUP(D834,'Standard Smelter Names'!$B$3:$E$153,4,FALSE))</f>
        <v/>
      </c>
      <c r="B834" s="170"/>
      <c r="C834" s="184"/>
      <c r="D834" s="184" t="str">
        <f t="shared" si="24"/>
        <v/>
      </c>
      <c r="E834" s="170" t="str">
        <f t="shared" si="25"/>
        <v/>
      </c>
      <c r="F834" s="170"/>
      <c r="G834" s="170"/>
      <c r="H834" s="170"/>
      <c r="I834" s="170"/>
      <c r="J834" s="170"/>
      <c r="K834" s="170"/>
      <c r="L834" s="170"/>
      <c r="M834" s="170"/>
      <c r="N834" s="170"/>
      <c r="O834" s="201"/>
    </row>
    <row r="835" spans="1:15" s="139" customFormat="1" ht="15.75">
      <c r="A835" s="205" t="str">
        <f>IF(ISNA(VLOOKUP(D835,'Standard Smelter Names'!$B$3:$E$153,4,FALSE)),"",VLOOKUP(D835,'Standard Smelter Names'!$B$3:$E$153,4,FALSE))</f>
        <v/>
      </c>
      <c r="B835" s="170"/>
      <c r="C835" s="184"/>
      <c r="D835" s="184" t="str">
        <f t="shared" si="24"/>
        <v/>
      </c>
      <c r="E835" s="170" t="str">
        <f t="shared" si="25"/>
        <v/>
      </c>
      <c r="F835" s="170"/>
      <c r="G835" s="170"/>
      <c r="H835" s="170"/>
      <c r="I835" s="170"/>
      <c r="J835" s="170"/>
      <c r="K835" s="170"/>
      <c r="L835" s="170"/>
      <c r="M835" s="170"/>
      <c r="N835" s="170"/>
      <c r="O835" s="201"/>
    </row>
    <row r="836" spans="1:15" s="139" customFormat="1" ht="15.75">
      <c r="A836" s="205" t="str">
        <f>IF(ISNA(VLOOKUP(D836,'Standard Smelter Names'!$B$3:$E$153,4,FALSE)),"",VLOOKUP(D836,'Standard Smelter Names'!$B$3:$E$153,4,FALSE))</f>
        <v/>
      </c>
      <c r="B836" s="170"/>
      <c r="C836" s="184"/>
      <c r="D836" s="184" t="str">
        <f t="shared" si="24"/>
        <v/>
      </c>
      <c r="E836" s="170" t="str">
        <f t="shared" si="25"/>
        <v/>
      </c>
      <c r="F836" s="170"/>
      <c r="G836" s="170"/>
      <c r="H836" s="170"/>
      <c r="I836" s="170"/>
      <c r="J836" s="170"/>
      <c r="K836" s="170"/>
      <c r="L836" s="170"/>
      <c r="M836" s="170"/>
      <c r="N836" s="170"/>
      <c r="O836" s="201"/>
    </row>
    <row r="837" spans="1:15" s="139" customFormat="1" ht="15.75">
      <c r="A837" s="205" t="str">
        <f>IF(ISNA(VLOOKUP(D837,'Standard Smelter Names'!$B$3:$E$153,4,FALSE)),"",VLOOKUP(D837,'Standard Smelter Names'!$B$3:$E$153,4,FALSE))</f>
        <v/>
      </c>
      <c r="B837" s="170"/>
      <c r="C837" s="184"/>
      <c r="D837" s="184" t="str">
        <f t="shared" ref="D837:D900" si="26">IF(ISNA(VLOOKUP(C837,$G$1023:$I$1309,3,FALSE)),"",VLOOKUP(C837,$G$1023:$I$1309,3,FALSE))</f>
        <v/>
      </c>
      <c r="E837" s="170" t="str">
        <f t="shared" ref="E837:E900" si="27">IF(ISNA(VLOOKUP(C837,$G$1023:$I$1309,2,FALSE)),"",VLOOKUP(C837,$G$1023:$I$1309,2,FALSE))</f>
        <v/>
      </c>
      <c r="F837" s="170"/>
      <c r="G837" s="170"/>
      <c r="H837" s="170"/>
      <c r="I837" s="170"/>
      <c r="J837" s="170"/>
      <c r="K837" s="170"/>
      <c r="L837" s="170"/>
      <c r="M837" s="170"/>
      <c r="N837" s="170"/>
      <c r="O837" s="201"/>
    </row>
    <row r="838" spans="1:15" s="139" customFormat="1" ht="15.75">
      <c r="A838" s="205" t="str">
        <f>IF(ISNA(VLOOKUP(D838,'Standard Smelter Names'!$B$3:$E$153,4,FALSE)),"",VLOOKUP(D838,'Standard Smelter Names'!$B$3:$E$153,4,FALSE))</f>
        <v/>
      </c>
      <c r="B838" s="170"/>
      <c r="C838" s="184"/>
      <c r="D838" s="184" t="str">
        <f t="shared" si="26"/>
        <v/>
      </c>
      <c r="E838" s="170" t="str">
        <f t="shared" si="27"/>
        <v/>
      </c>
      <c r="F838" s="170"/>
      <c r="G838" s="170"/>
      <c r="H838" s="170"/>
      <c r="I838" s="170"/>
      <c r="J838" s="170"/>
      <c r="K838" s="170"/>
      <c r="L838" s="170"/>
      <c r="M838" s="170"/>
      <c r="N838" s="170"/>
      <c r="O838" s="201"/>
    </row>
    <row r="839" spans="1:15" s="139" customFormat="1" ht="15.75">
      <c r="A839" s="205" t="str">
        <f>IF(ISNA(VLOOKUP(D839,'Standard Smelter Names'!$B$3:$E$153,4,FALSE)),"",VLOOKUP(D839,'Standard Smelter Names'!$B$3:$E$153,4,FALSE))</f>
        <v/>
      </c>
      <c r="B839" s="170"/>
      <c r="C839" s="184"/>
      <c r="D839" s="184" t="str">
        <f t="shared" si="26"/>
        <v/>
      </c>
      <c r="E839" s="170" t="str">
        <f t="shared" si="27"/>
        <v/>
      </c>
      <c r="F839" s="170"/>
      <c r="G839" s="170"/>
      <c r="H839" s="170"/>
      <c r="I839" s="170"/>
      <c r="J839" s="170"/>
      <c r="K839" s="170"/>
      <c r="L839" s="170"/>
      <c r="M839" s="170"/>
      <c r="N839" s="170"/>
      <c r="O839" s="201"/>
    </row>
    <row r="840" spans="1:15" s="139" customFormat="1" ht="15.75">
      <c r="A840" s="205" t="str">
        <f>IF(ISNA(VLOOKUP(D840,'Standard Smelter Names'!$B$3:$E$153,4,FALSE)),"",VLOOKUP(D840,'Standard Smelter Names'!$B$3:$E$153,4,FALSE))</f>
        <v/>
      </c>
      <c r="B840" s="170"/>
      <c r="C840" s="184"/>
      <c r="D840" s="184" t="str">
        <f t="shared" si="26"/>
        <v/>
      </c>
      <c r="E840" s="170" t="str">
        <f t="shared" si="27"/>
        <v/>
      </c>
      <c r="F840" s="170"/>
      <c r="G840" s="170"/>
      <c r="H840" s="170"/>
      <c r="I840" s="170"/>
      <c r="J840" s="170"/>
      <c r="K840" s="170"/>
      <c r="L840" s="170"/>
      <c r="M840" s="170"/>
      <c r="N840" s="170"/>
      <c r="O840" s="201"/>
    </row>
    <row r="841" spans="1:15" s="139" customFormat="1" ht="15.75">
      <c r="A841" s="205" t="str">
        <f>IF(ISNA(VLOOKUP(D841,'Standard Smelter Names'!$B$3:$E$153,4,FALSE)),"",VLOOKUP(D841,'Standard Smelter Names'!$B$3:$E$153,4,FALSE))</f>
        <v/>
      </c>
      <c r="B841" s="170"/>
      <c r="C841" s="184"/>
      <c r="D841" s="184" t="str">
        <f t="shared" si="26"/>
        <v/>
      </c>
      <c r="E841" s="170" t="str">
        <f t="shared" si="27"/>
        <v/>
      </c>
      <c r="F841" s="170"/>
      <c r="G841" s="170"/>
      <c r="H841" s="170"/>
      <c r="I841" s="170"/>
      <c r="J841" s="170"/>
      <c r="K841" s="170"/>
      <c r="L841" s="170"/>
      <c r="M841" s="170"/>
      <c r="N841" s="170"/>
      <c r="O841" s="201"/>
    </row>
    <row r="842" spans="1:15" s="139" customFormat="1" ht="15.75">
      <c r="A842" s="205" t="str">
        <f>IF(ISNA(VLOOKUP(D842,'Standard Smelter Names'!$B$3:$E$153,4,FALSE)),"",VLOOKUP(D842,'Standard Smelter Names'!$B$3:$E$153,4,FALSE))</f>
        <v/>
      </c>
      <c r="B842" s="170"/>
      <c r="C842" s="184"/>
      <c r="D842" s="184" t="str">
        <f t="shared" si="26"/>
        <v/>
      </c>
      <c r="E842" s="170" t="str">
        <f t="shared" si="27"/>
        <v/>
      </c>
      <c r="F842" s="170"/>
      <c r="G842" s="170"/>
      <c r="H842" s="170"/>
      <c r="I842" s="170"/>
      <c r="J842" s="170"/>
      <c r="K842" s="170"/>
      <c r="L842" s="170"/>
      <c r="M842" s="170"/>
      <c r="N842" s="170"/>
      <c r="O842" s="201"/>
    </row>
    <row r="843" spans="1:15" s="139" customFormat="1" ht="15.75">
      <c r="A843" s="205" t="str">
        <f>IF(ISNA(VLOOKUP(D843,'Standard Smelter Names'!$B$3:$E$153,4,FALSE)),"",VLOOKUP(D843,'Standard Smelter Names'!$B$3:$E$153,4,FALSE))</f>
        <v/>
      </c>
      <c r="B843" s="170"/>
      <c r="C843" s="184"/>
      <c r="D843" s="184" t="str">
        <f t="shared" si="26"/>
        <v/>
      </c>
      <c r="E843" s="170" t="str">
        <f t="shared" si="27"/>
        <v/>
      </c>
      <c r="F843" s="170"/>
      <c r="G843" s="170"/>
      <c r="H843" s="170"/>
      <c r="I843" s="170"/>
      <c r="J843" s="170"/>
      <c r="K843" s="170"/>
      <c r="L843" s="170"/>
      <c r="M843" s="170"/>
      <c r="N843" s="170"/>
      <c r="O843" s="201"/>
    </row>
    <row r="844" spans="1:15" s="139" customFormat="1" ht="15.75">
      <c r="A844" s="205" t="str">
        <f>IF(ISNA(VLOOKUP(D844,'Standard Smelter Names'!$B$3:$E$153,4,FALSE)),"",VLOOKUP(D844,'Standard Smelter Names'!$B$3:$E$153,4,FALSE))</f>
        <v/>
      </c>
      <c r="B844" s="170"/>
      <c r="C844" s="184"/>
      <c r="D844" s="184" t="str">
        <f t="shared" si="26"/>
        <v/>
      </c>
      <c r="E844" s="170" t="str">
        <f t="shared" si="27"/>
        <v/>
      </c>
      <c r="F844" s="170"/>
      <c r="G844" s="170"/>
      <c r="H844" s="170"/>
      <c r="I844" s="170"/>
      <c r="J844" s="170"/>
      <c r="K844" s="170"/>
      <c r="L844" s="170"/>
      <c r="M844" s="170"/>
      <c r="N844" s="170"/>
      <c r="O844" s="201"/>
    </row>
    <row r="845" spans="1:15" s="139" customFormat="1" ht="15.75">
      <c r="A845" s="205" t="str">
        <f>IF(ISNA(VLOOKUP(D845,'Standard Smelter Names'!$B$3:$E$153,4,FALSE)),"",VLOOKUP(D845,'Standard Smelter Names'!$B$3:$E$153,4,FALSE))</f>
        <v/>
      </c>
      <c r="B845" s="170"/>
      <c r="C845" s="184"/>
      <c r="D845" s="184" t="str">
        <f t="shared" si="26"/>
        <v/>
      </c>
      <c r="E845" s="170" t="str">
        <f t="shared" si="27"/>
        <v/>
      </c>
      <c r="F845" s="170"/>
      <c r="G845" s="170"/>
      <c r="H845" s="170"/>
      <c r="I845" s="170"/>
      <c r="J845" s="170"/>
      <c r="K845" s="170"/>
      <c r="L845" s="170"/>
      <c r="M845" s="170"/>
      <c r="N845" s="170"/>
      <c r="O845" s="201"/>
    </row>
    <row r="846" spans="1:15" s="139" customFormat="1" ht="15.75">
      <c r="A846" s="205" t="str">
        <f>IF(ISNA(VLOOKUP(D846,'Standard Smelter Names'!$B$3:$E$153,4,FALSE)),"",VLOOKUP(D846,'Standard Smelter Names'!$B$3:$E$153,4,FALSE))</f>
        <v/>
      </c>
      <c r="B846" s="170"/>
      <c r="C846" s="184"/>
      <c r="D846" s="184" t="str">
        <f t="shared" si="26"/>
        <v/>
      </c>
      <c r="E846" s="170" t="str">
        <f t="shared" si="27"/>
        <v/>
      </c>
      <c r="F846" s="170"/>
      <c r="G846" s="170"/>
      <c r="H846" s="170"/>
      <c r="I846" s="170"/>
      <c r="J846" s="170"/>
      <c r="K846" s="170"/>
      <c r="L846" s="170"/>
      <c r="M846" s="170"/>
      <c r="N846" s="170"/>
      <c r="O846" s="201"/>
    </row>
    <row r="847" spans="1:15" s="139" customFormat="1" ht="15.75">
      <c r="A847" s="205" t="str">
        <f>IF(ISNA(VLOOKUP(D847,'Standard Smelter Names'!$B$3:$E$153,4,FALSE)),"",VLOOKUP(D847,'Standard Smelter Names'!$B$3:$E$153,4,FALSE))</f>
        <v/>
      </c>
      <c r="B847" s="170"/>
      <c r="C847" s="184"/>
      <c r="D847" s="184" t="str">
        <f t="shared" si="26"/>
        <v/>
      </c>
      <c r="E847" s="170" t="str">
        <f t="shared" si="27"/>
        <v/>
      </c>
      <c r="F847" s="170"/>
      <c r="G847" s="170"/>
      <c r="H847" s="170"/>
      <c r="I847" s="170"/>
      <c r="J847" s="170"/>
      <c r="K847" s="170"/>
      <c r="L847" s="170"/>
      <c r="M847" s="170"/>
      <c r="N847" s="170"/>
      <c r="O847" s="201"/>
    </row>
    <row r="848" spans="1:15" s="139" customFormat="1" ht="15.75">
      <c r="A848" s="205" t="str">
        <f>IF(ISNA(VLOOKUP(D848,'Standard Smelter Names'!$B$3:$E$153,4,FALSE)),"",VLOOKUP(D848,'Standard Smelter Names'!$B$3:$E$153,4,FALSE))</f>
        <v/>
      </c>
      <c r="B848" s="170"/>
      <c r="C848" s="184"/>
      <c r="D848" s="184" t="str">
        <f t="shared" si="26"/>
        <v/>
      </c>
      <c r="E848" s="170" t="str">
        <f t="shared" si="27"/>
        <v/>
      </c>
      <c r="F848" s="170"/>
      <c r="G848" s="170"/>
      <c r="H848" s="170"/>
      <c r="I848" s="170"/>
      <c r="J848" s="170"/>
      <c r="K848" s="170"/>
      <c r="L848" s="170"/>
      <c r="M848" s="170"/>
      <c r="N848" s="170"/>
      <c r="O848" s="201"/>
    </row>
    <row r="849" spans="1:15" s="139" customFormat="1" ht="15.75">
      <c r="A849" s="205" t="str">
        <f>IF(ISNA(VLOOKUP(D849,'Standard Smelter Names'!$B$3:$E$153,4,FALSE)),"",VLOOKUP(D849,'Standard Smelter Names'!$B$3:$E$153,4,FALSE))</f>
        <v/>
      </c>
      <c r="B849" s="170"/>
      <c r="C849" s="184"/>
      <c r="D849" s="184" t="str">
        <f t="shared" si="26"/>
        <v/>
      </c>
      <c r="E849" s="170" t="str">
        <f t="shared" si="27"/>
        <v/>
      </c>
      <c r="F849" s="170"/>
      <c r="G849" s="170"/>
      <c r="H849" s="170"/>
      <c r="I849" s="170"/>
      <c r="J849" s="170"/>
      <c r="K849" s="170"/>
      <c r="L849" s="170"/>
      <c r="M849" s="170"/>
      <c r="N849" s="170"/>
      <c r="O849" s="201"/>
    </row>
    <row r="850" spans="1:15" s="139" customFormat="1" ht="15.75">
      <c r="A850" s="205" t="str">
        <f>IF(ISNA(VLOOKUP(D850,'Standard Smelter Names'!$B$3:$E$153,4,FALSE)),"",VLOOKUP(D850,'Standard Smelter Names'!$B$3:$E$153,4,FALSE))</f>
        <v/>
      </c>
      <c r="B850" s="170"/>
      <c r="C850" s="184"/>
      <c r="D850" s="184" t="str">
        <f t="shared" si="26"/>
        <v/>
      </c>
      <c r="E850" s="170" t="str">
        <f t="shared" si="27"/>
        <v/>
      </c>
      <c r="F850" s="170"/>
      <c r="G850" s="170"/>
      <c r="H850" s="170"/>
      <c r="I850" s="170"/>
      <c r="J850" s="170"/>
      <c r="K850" s="170"/>
      <c r="L850" s="170"/>
      <c r="M850" s="170"/>
      <c r="N850" s="170"/>
      <c r="O850" s="201"/>
    </row>
    <row r="851" spans="1:15" s="139" customFormat="1" ht="15.75">
      <c r="A851" s="205" t="str">
        <f>IF(ISNA(VLOOKUP(D851,'Standard Smelter Names'!$B$3:$E$153,4,FALSE)),"",VLOOKUP(D851,'Standard Smelter Names'!$B$3:$E$153,4,FALSE))</f>
        <v/>
      </c>
      <c r="B851" s="170"/>
      <c r="C851" s="184"/>
      <c r="D851" s="184" t="str">
        <f t="shared" si="26"/>
        <v/>
      </c>
      <c r="E851" s="170" t="str">
        <f t="shared" si="27"/>
        <v/>
      </c>
      <c r="F851" s="170"/>
      <c r="G851" s="170"/>
      <c r="H851" s="170"/>
      <c r="I851" s="170"/>
      <c r="J851" s="170"/>
      <c r="K851" s="170"/>
      <c r="L851" s="170"/>
      <c r="M851" s="170"/>
      <c r="N851" s="170"/>
      <c r="O851" s="201"/>
    </row>
    <row r="852" spans="1:15" s="139" customFormat="1" ht="15.75">
      <c r="A852" s="205" t="str">
        <f>IF(ISNA(VLOOKUP(D852,'Standard Smelter Names'!$B$3:$E$153,4,FALSE)),"",VLOOKUP(D852,'Standard Smelter Names'!$B$3:$E$153,4,FALSE))</f>
        <v/>
      </c>
      <c r="B852" s="170"/>
      <c r="C852" s="184"/>
      <c r="D852" s="184" t="str">
        <f t="shared" si="26"/>
        <v/>
      </c>
      <c r="E852" s="170" t="str">
        <f t="shared" si="27"/>
        <v/>
      </c>
      <c r="F852" s="170"/>
      <c r="G852" s="170"/>
      <c r="H852" s="170"/>
      <c r="I852" s="170"/>
      <c r="J852" s="170"/>
      <c r="K852" s="170"/>
      <c r="L852" s="170"/>
      <c r="M852" s="170"/>
      <c r="N852" s="170"/>
      <c r="O852" s="201"/>
    </row>
    <row r="853" spans="1:15" s="139" customFormat="1" ht="15.75">
      <c r="A853" s="205" t="str">
        <f>IF(ISNA(VLOOKUP(D853,'Standard Smelter Names'!$B$3:$E$153,4,FALSE)),"",VLOOKUP(D853,'Standard Smelter Names'!$B$3:$E$153,4,FALSE))</f>
        <v/>
      </c>
      <c r="B853" s="170"/>
      <c r="C853" s="184"/>
      <c r="D853" s="184" t="str">
        <f t="shared" si="26"/>
        <v/>
      </c>
      <c r="E853" s="170" t="str">
        <f t="shared" si="27"/>
        <v/>
      </c>
      <c r="F853" s="170"/>
      <c r="G853" s="170"/>
      <c r="H853" s="170"/>
      <c r="I853" s="170"/>
      <c r="J853" s="170"/>
      <c r="K853" s="170"/>
      <c r="L853" s="170"/>
      <c r="M853" s="170"/>
      <c r="N853" s="170"/>
      <c r="O853" s="201"/>
    </row>
    <row r="854" spans="1:15" s="139" customFormat="1" ht="15.75">
      <c r="A854" s="205" t="str">
        <f>IF(ISNA(VLOOKUP(D854,'Standard Smelter Names'!$B$3:$E$153,4,FALSE)),"",VLOOKUP(D854,'Standard Smelter Names'!$B$3:$E$153,4,FALSE))</f>
        <v/>
      </c>
      <c r="B854" s="170"/>
      <c r="C854" s="184"/>
      <c r="D854" s="184" t="str">
        <f t="shared" si="26"/>
        <v/>
      </c>
      <c r="E854" s="170" t="str">
        <f t="shared" si="27"/>
        <v/>
      </c>
      <c r="F854" s="170"/>
      <c r="G854" s="170"/>
      <c r="H854" s="170"/>
      <c r="I854" s="170"/>
      <c r="J854" s="170"/>
      <c r="K854" s="170"/>
      <c r="L854" s="170"/>
      <c r="M854" s="170"/>
      <c r="N854" s="170"/>
      <c r="O854" s="201"/>
    </row>
    <row r="855" spans="1:15" s="139" customFormat="1" ht="15.75">
      <c r="A855" s="205" t="str">
        <f>IF(ISNA(VLOOKUP(D855,'Standard Smelter Names'!$B$3:$E$153,4,FALSE)),"",VLOOKUP(D855,'Standard Smelter Names'!$B$3:$E$153,4,FALSE))</f>
        <v/>
      </c>
      <c r="B855" s="170"/>
      <c r="C855" s="184"/>
      <c r="D855" s="184" t="str">
        <f t="shared" si="26"/>
        <v/>
      </c>
      <c r="E855" s="170" t="str">
        <f t="shared" si="27"/>
        <v/>
      </c>
      <c r="F855" s="170"/>
      <c r="G855" s="170"/>
      <c r="H855" s="170"/>
      <c r="I855" s="170"/>
      <c r="J855" s="170"/>
      <c r="K855" s="170"/>
      <c r="L855" s="170"/>
      <c r="M855" s="170"/>
      <c r="N855" s="170"/>
      <c r="O855" s="201"/>
    </row>
    <row r="856" spans="1:15" s="139" customFormat="1" ht="15.75">
      <c r="A856" s="205" t="str">
        <f>IF(ISNA(VLOOKUP(D856,'Standard Smelter Names'!$B$3:$E$153,4,FALSE)),"",VLOOKUP(D856,'Standard Smelter Names'!$B$3:$E$153,4,FALSE))</f>
        <v/>
      </c>
      <c r="B856" s="170"/>
      <c r="C856" s="184"/>
      <c r="D856" s="184" t="str">
        <f t="shared" si="26"/>
        <v/>
      </c>
      <c r="E856" s="170" t="str">
        <f t="shared" si="27"/>
        <v/>
      </c>
      <c r="F856" s="170"/>
      <c r="G856" s="170"/>
      <c r="H856" s="170"/>
      <c r="I856" s="170"/>
      <c r="J856" s="170"/>
      <c r="K856" s="170"/>
      <c r="L856" s="170"/>
      <c r="M856" s="170"/>
      <c r="N856" s="170"/>
      <c r="O856" s="201"/>
    </row>
    <row r="857" spans="1:15" s="139" customFormat="1" ht="15.75">
      <c r="A857" s="205" t="str">
        <f>IF(ISNA(VLOOKUP(D857,'Standard Smelter Names'!$B$3:$E$153,4,FALSE)),"",VLOOKUP(D857,'Standard Smelter Names'!$B$3:$E$153,4,FALSE))</f>
        <v/>
      </c>
      <c r="B857" s="170"/>
      <c r="C857" s="184"/>
      <c r="D857" s="184" t="str">
        <f t="shared" si="26"/>
        <v/>
      </c>
      <c r="E857" s="170" t="str">
        <f t="shared" si="27"/>
        <v/>
      </c>
      <c r="F857" s="170"/>
      <c r="G857" s="170"/>
      <c r="H857" s="170"/>
      <c r="I857" s="170"/>
      <c r="J857" s="170"/>
      <c r="K857" s="170"/>
      <c r="L857" s="170"/>
      <c r="M857" s="170"/>
      <c r="N857" s="170"/>
      <c r="O857" s="201"/>
    </row>
    <row r="858" spans="1:15" s="139" customFormat="1" ht="15.75">
      <c r="A858" s="205" t="str">
        <f>IF(ISNA(VLOOKUP(D858,'Standard Smelter Names'!$B$3:$E$153,4,FALSE)),"",VLOOKUP(D858,'Standard Smelter Names'!$B$3:$E$153,4,FALSE))</f>
        <v/>
      </c>
      <c r="B858" s="170"/>
      <c r="C858" s="184"/>
      <c r="D858" s="184" t="str">
        <f t="shared" si="26"/>
        <v/>
      </c>
      <c r="E858" s="170" t="str">
        <f t="shared" si="27"/>
        <v/>
      </c>
      <c r="F858" s="170"/>
      <c r="G858" s="170"/>
      <c r="H858" s="170"/>
      <c r="I858" s="170"/>
      <c r="J858" s="170"/>
      <c r="K858" s="170"/>
      <c r="L858" s="170"/>
      <c r="M858" s="170"/>
      <c r="N858" s="170"/>
      <c r="O858" s="201"/>
    </row>
    <row r="859" spans="1:15" s="139" customFormat="1" ht="15.75">
      <c r="A859" s="205" t="str">
        <f>IF(ISNA(VLOOKUP(D859,'Standard Smelter Names'!$B$3:$E$153,4,FALSE)),"",VLOOKUP(D859,'Standard Smelter Names'!$B$3:$E$153,4,FALSE))</f>
        <v/>
      </c>
      <c r="B859" s="170"/>
      <c r="C859" s="184"/>
      <c r="D859" s="184" t="str">
        <f t="shared" si="26"/>
        <v/>
      </c>
      <c r="E859" s="170" t="str">
        <f t="shared" si="27"/>
        <v/>
      </c>
      <c r="F859" s="170"/>
      <c r="G859" s="170"/>
      <c r="H859" s="170"/>
      <c r="I859" s="170"/>
      <c r="J859" s="170"/>
      <c r="K859" s="170"/>
      <c r="L859" s="170"/>
      <c r="M859" s="170"/>
      <c r="N859" s="170"/>
      <c r="O859" s="201"/>
    </row>
    <row r="860" spans="1:15" s="139" customFormat="1" ht="15.75">
      <c r="A860" s="205" t="str">
        <f>IF(ISNA(VLOOKUP(D860,'Standard Smelter Names'!$B$3:$E$153,4,FALSE)),"",VLOOKUP(D860,'Standard Smelter Names'!$B$3:$E$153,4,FALSE))</f>
        <v/>
      </c>
      <c r="B860" s="170"/>
      <c r="C860" s="184"/>
      <c r="D860" s="184" t="str">
        <f t="shared" si="26"/>
        <v/>
      </c>
      <c r="E860" s="170" t="str">
        <f t="shared" si="27"/>
        <v/>
      </c>
      <c r="F860" s="170"/>
      <c r="G860" s="170"/>
      <c r="H860" s="170"/>
      <c r="I860" s="170"/>
      <c r="J860" s="170"/>
      <c r="K860" s="170"/>
      <c r="L860" s="170"/>
      <c r="M860" s="170"/>
      <c r="N860" s="170"/>
      <c r="O860" s="201"/>
    </row>
    <row r="861" spans="1:15" s="139" customFormat="1" ht="15.75">
      <c r="A861" s="205" t="str">
        <f>IF(ISNA(VLOOKUP(D861,'Standard Smelter Names'!$B$3:$E$153,4,FALSE)),"",VLOOKUP(D861,'Standard Smelter Names'!$B$3:$E$153,4,FALSE))</f>
        <v/>
      </c>
      <c r="B861" s="170"/>
      <c r="C861" s="184"/>
      <c r="D861" s="184" t="str">
        <f t="shared" si="26"/>
        <v/>
      </c>
      <c r="E861" s="170" t="str">
        <f t="shared" si="27"/>
        <v/>
      </c>
      <c r="F861" s="170"/>
      <c r="G861" s="170"/>
      <c r="H861" s="170"/>
      <c r="I861" s="170"/>
      <c r="J861" s="170"/>
      <c r="K861" s="170"/>
      <c r="L861" s="170"/>
      <c r="M861" s="170"/>
      <c r="N861" s="170"/>
      <c r="O861" s="201"/>
    </row>
    <row r="862" spans="1:15" s="139" customFormat="1" ht="15.75">
      <c r="A862" s="205" t="str">
        <f>IF(ISNA(VLOOKUP(D862,'Standard Smelter Names'!$B$3:$E$153,4,FALSE)),"",VLOOKUP(D862,'Standard Smelter Names'!$B$3:$E$153,4,FALSE))</f>
        <v/>
      </c>
      <c r="B862" s="170"/>
      <c r="C862" s="184"/>
      <c r="D862" s="184" t="str">
        <f t="shared" si="26"/>
        <v/>
      </c>
      <c r="E862" s="170" t="str">
        <f t="shared" si="27"/>
        <v/>
      </c>
      <c r="F862" s="170"/>
      <c r="G862" s="170"/>
      <c r="H862" s="170"/>
      <c r="I862" s="170"/>
      <c r="J862" s="170"/>
      <c r="K862" s="170"/>
      <c r="L862" s="170"/>
      <c r="M862" s="170"/>
      <c r="N862" s="170"/>
      <c r="O862" s="201"/>
    </row>
    <row r="863" spans="1:15" s="139" customFormat="1" ht="15.75">
      <c r="A863" s="205" t="str">
        <f>IF(ISNA(VLOOKUP(D863,'Standard Smelter Names'!$B$3:$E$153,4,FALSE)),"",VLOOKUP(D863,'Standard Smelter Names'!$B$3:$E$153,4,FALSE))</f>
        <v/>
      </c>
      <c r="B863" s="170"/>
      <c r="C863" s="184"/>
      <c r="D863" s="184" t="str">
        <f t="shared" si="26"/>
        <v/>
      </c>
      <c r="E863" s="170" t="str">
        <f t="shared" si="27"/>
        <v/>
      </c>
      <c r="F863" s="170"/>
      <c r="G863" s="170"/>
      <c r="H863" s="170"/>
      <c r="I863" s="170"/>
      <c r="J863" s="170"/>
      <c r="K863" s="170"/>
      <c r="L863" s="170"/>
      <c r="M863" s="170"/>
      <c r="N863" s="170"/>
      <c r="O863" s="201"/>
    </row>
    <row r="864" spans="1:15" s="139" customFormat="1" ht="15.75">
      <c r="A864" s="205" t="str">
        <f>IF(ISNA(VLOOKUP(D864,'Standard Smelter Names'!$B$3:$E$153,4,FALSE)),"",VLOOKUP(D864,'Standard Smelter Names'!$B$3:$E$153,4,FALSE))</f>
        <v/>
      </c>
      <c r="B864" s="170"/>
      <c r="C864" s="184"/>
      <c r="D864" s="184" t="str">
        <f t="shared" si="26"/>
        <v/>
      </c>
      <c r="E864" s="170" t="str">
        <f t="shared" si="27"/>
        <v/>
      </c>
      <c r="F864" s="170"/>
      <c r="G864" s="170"/>
      <c r="H864" s="170"/>
      <c r="I864" s="170"/>
      <c r="J864" s="170"/>
      <c r="K864" s="170"/>
      <c r="L864" s="170"/>
      <c r="M864" s="170"/>
      <c r="N864" s="170"/>
      <c r="O864" s="201"/>
    </row>
    <row r="865" spans="1:15" s="139" customFormat="1" ht="15.75">
      <c r="A865" s="205" t="str">
        <f>IF(ISNA(VLOOKUP(D865,'Standard Smelter Names'!$B$3:$E$153,4,FALSE)),"",VLOOKUP(D865,'Standard Smelter Names'!$B$3:$E$153,4,FALSE))</f>
        <v/>
      </c>
      <c r="B865" s="170"/>
      <c r="C865" s="184"/>
      <c r="D865" s="184" t="str">
        <f t="shared" si="26"/>
        <v/>
      </c>
      <c r="E865" s="170" t="str">
        <f t="shared" si="27"/>
        <v/>
      </c>
      <c r="F865" s="170"/>
      <c r="G865" s="170"/>
      <c r="H865" s="170"/>
      <c r="I865" s="170"/>
      <c r="J865" s="170"/>
      <c r="K865" s="170"/>
      <c r="L865" s="170"/>
      <c r="M865" s="170"/>
      <c r="N865" s="170"/>
      <c r="O865" s="201"/>
    </row>
    <row r="866" spans="1:15" s="139" customFormat="1" ht="15.75">
      <c r="A866" s="205" t="str">
        <f>IF(ISNA(VLOOKUP(D866,'Standard Smelter Names'!$B$3:$E$153,4,FALSE)),"",VLOOKUP(D866,'Standard Smelter Names'!$B$3:$E$153,4,FALSE))</f>
        <v/>
      </c>
      <c r="B866" s="170"/>
      <c r="C866" s="184"/>
      <c r="D866" s="184" t="str">
        <f t="shared" si="26"/>
        <v/>
      </c>
      <c r="E866" s="170" t="str">
        <f t="shared" si="27"/>
        <v/>
      </c>
      <c r="F866" s="170"/>
      <c r="G866" s="170"/>
      <c r="H866" s="170"/>
      <c r="I866" s="170"/>
      <c r="J866" s="170"/>
      <c r="K866" s="170"/>
      <c r="L866" s="170"/>
      <c r="M866" s="170"/>
      <c r="N866" s="170"/>
      <c r="O866" s="201"/>
    </row>
    <row r="867" spans="1:15" s="139" customFormat="1" ht="15.75">
      <c r="A867" s="205" t="str">
        <f>IF(ISNA(VLOOKUP(D867,'Standard Smelter Names'!$B$3:$E$153,4,FALSE)),"",VLOOKUP(D867,'Standard Smelter Names'!$B$3:$E$153,4,FALSE))</f>
        <v/>
      </c>
      <c r="B867" s="170"/>
      <c r="C867" s="184"/>
      <c r="D867" s="184" t="str">
        <f t="shared" si="26"/>
        <v/>
      </c>
      <c r="E867" s="170" t="str">
        <f t="shared" si="27"/>
        <v/>
      </c>
      <c r="F867" s="170"/>
      <c r="G867" s="170"/>
      <c r="H867" s="170"/>
      <c r="I867" s="170"/>
      <c r="J867" s="170"/>
      <c r="K867" s="170"/>
      <c r="L867" s="170"/>
      <c r="M867" s="170"/>
      <c r="N867" s="170"/>
      <c r="O867" s="201"/>
    </row>
    <row r="868" spans="1:15" s="139" customFormat="1" ht="15.75">
      <c r="A868" s="205" t="str">
        <f>IF(ISNA(VLOOKUP(D868,'Standard Smelter Names'!$B$3:$E$153,4,FALSE)),"",VLOOKUP(D868,'Standard Smelter Names'!$B$3:$E$153,4,FALSE))</f>
        <v/>
      </c>
      <c r="B868" s="170"/>
      <c r="C868" s="184"/>
      <c r="D868" s="184" t="str">
        <f t="shared" si="26"/>
        <v/>
      </c>
      <c r="E868" s="170" t="str">
        <f t="shared" si="27"/>
        <v/>
      </c>
      <c r="F868" s="170"/>
      <c r="G868" s="170"/>
      <c r="H868" s="170"/>
      <c r="I868" s="170"/>
      <c r="J868" s="170"/>
      <c r="K868" s="170"/>
      <c r="L868" s="170"/>
      <c r="M868" s="170"/>
      <c r="N868" s="170"/>
      <c r="O868" s="201"/>
    </row>
    <row r="869" spans="1:15" s="139" customFormat="1" ht="15.75">
      <c r="A869" s="205" t="str">
        <f>IF(ISNA(VLOOKUP(D869,'Standard Smelter Names'!$B$3:$E$153,4,FALSE)),"",VLOOKUP(D869,'Standard Smelter Names'!$B$3:$E$153,4,FALSE))</f>
        <v/>
      </c>
      <c r="B869" s="170"/>
      <c r="C869" s="184"/>
      <c r="D869" s="184" t="str">
        <f t="shared" si="26"/>
        <v/>
      </c>
      <c r="E869" s="170" t="str">
        <f t="shared" si="27"/>
        <v/>
      </c>
      <c r="F869" s="170"/>
      <c r="G869" s="170"/>
      <c r="H869" s="170"/>
      <c r="I869" s="170"/>
      <c r="J869" s="170"/>
      <c r="K869" s="170"/>
      <c r="L869" s="170"/>
      <c r="M869" s="170"/>
      <c r="N869" s="170"/>
      <c r="O869" s="201"/>
    </row>
    <row r="870" spans="1:15" s="139" customFormat="1" ht="15.75">
      <c r="A870" s="205" t="str">
        <f>IF(ISNA(VLOOKUP(D870,'Standard Smelter Names'!$B$3:$E$153,4,FALSE)),"",VLOOKUP(D870,'Standard Smelter Names'!$B$3:$E$153,4,FALSE))</f>
        <v/>
      </c>
      <c r="B870" s="170"/>
      <c r="C870" s="184"/>
      <c r="D870" s="184" t="str">
        <f t="shared" si="26"/>
        <v/>
      </c>
      <c r="E870" s="170" t="str">
        <f t="shared" si="27"/>
        <v/>
      </c>
      <c r="F870" s="170"/>
      <c r="G870" s="170"/>
      <c r="H870" s="170"/>
      <c r="I870" s="170"/>
      <c r="J870" s="170"/>
      <c r="K870" s="170"/>
      <c r="L870" s="170"/>
      <c r="M870" s="170"/>
      <c r="N870" s="170"/>
      <c r="O870" s="201"/>
    </row>
    <row r="871" spans="1:15" s="139" customFormat="1" ht="15.75">
      <c r="A871" s="205" t="str">
        <f>IF(ISNA(VLOOKUP(D871,'Standard Smelter Names'!$B$3:$E$153,4,FALSE)),"",VLOOKUP(D871,'Standard Smelter Names'!$B$3:$E$153,4,FALSE))</f>
        <v/>
      </c>
      <c r="B871" s="170"/>
      <c r="C871" s="184"/>
      <c r="D871" s="184" t="str">
        <f t="shared" si="26"/>
        <v/>
      </c>
      <c r="E871" s="170" t="str">
        <f t="shared" si="27"/>
        <v/>
      </c>
      <c r="F871" s="170"/>
      <c r="G871" s="170"/>
      <c r="H871" s="170"/>
      <c r="I871" s="170"/>
      <c r="J871" s="170"/>
      <c r="K871" s="170"/>
      <c r="L871" s="170"/>
      <c r="M871" s="170"/>
      <c r="N871" s="170"/>
      <c r="O871" s="201"/>
    </row>
    <row r="872" spans="1:15" s="139" customFormat="1" ht="15.75">
      <c r="A872" s="205" t="str">
        <f>IF(ISNA(VLOOKUP(D872,'Standard Smelter Names'!$B$3:$E$153,4,FALSE)),"",VLOOKUP(D872,'Standard Smelter Names'!$B$3:$E$153,4,FALSE))</f>
        <v/>
      </c>
      <c r="B872" s="170"/>
      <c r="C872" s="184"/>
      <c r="D872" s="184" t="str">
        <f t="shared" si="26"/>
        <v/>
      </c>
      <c r="E872" s="170" t="str">
        <f t="shared" si="27"/>
        <v/>
      </c>
      <c r="F872" s="170"/>
      <c r="G872" s="170"/>
      <c r="H872" s="170"/>
      <c r="I872" s="170"/>
      <c r="J872" s="170"/>
      <c r="K872" s="170"/>
      <c r="L872" s="170"/>
      <c r="M872" s="170"/>
      <c r="N872" s="170"/>
      <c r="O872" s="201"/>
    </row>
    <row r="873" spans="1:15" s="139" customFormat="1" ht="15.75">
      <c r="A873" s="205" t="str">
        <f>IF(ISNA(VLOOKUP(D873,'Standard Smelter Names'!$B$3:$E$153,4,FALSE)),"",VLOOKUP(D873,'Standard Smelter Names'!$B$3:$E$153,4,FALSE))</f>
        <v/>
      </c>
      <c r="B873" s="170"/>
      <c r="C873" s="184"/>
      <c r="D873" s="184" t="str">
        <f t="shared" si="26"/>
        <v/>
      </c>
      <c r="E873" s="170" t="str">
        <f t="shared" si="27"/>
        <v/>
      </c>
      <c r="F873" s="170"/>
      <c r="G873" s="170"/>
      <c r="H873" s="170"/>
      <c r="I873" s="170"/>
      <c r="J873" s="170"/>
      <c r="K873" s="170"/>
      <c r="L873" s="170"/>
      <c r="M873" s="170"/>
      <c r="N873" s="170"/>
      <c r="O873" s="201"/>
    </row>
    <row r="874" spans="1:15" s="139" customFormat="1" ht="15.75">
      <c r="A874" s="205" t="str">
        <f>IF(ISNA(VLOOKUP(D874,'Standard Smelter Names'!$B$3:$E$153,4,FALSE)),"",VLOOKUP(D874,'Standard Smelter Names'!$B$3:$E$153,4,FALSE))</f>
        <v/>
      </c>
      <c r="B874" s="170"/>
      <c r="C874" s="184"/>
      <c r="D874" s="184" t="str">
        <f t="shared" si="26"/>
        <v/>
      </c>
      <c r="E874" s="170" t="str">
        <f t="shared" si="27"/>
        <v/>
      </c>
      <c r="F874" s="170"/>
      <c r="G874" s="170"/>
      <c r="H874" s="170"/>
      <c r="I874" s="170"/>
      <c r="J874" s="170"/>
      <c r="K874" s="170"/>
      <c r="L874" s="170"/>
      <c r="M874" s="170"/>
      <c r="N874" s="170"/>
      <c r="O874" s="201"/>
    </row>
    <row r="875" spans="1:15" s="139" customFormat="1" ht="15.75">
      <c r="A875" s="205" t="str">
        <f>IF(ISNA(VLOOKUP(D875,'Standard Smelter Names'!$B$3:$E$153,4,FALSE)),"",VLOOKUP(D875,'Standard Smelter Names'!$B$3:$E$153,4,FALSE))</f>
        <v/>
      </c>
      <c r="B875" s="170"/>
      <c r="C875" s="184"/>
      <c r="D875" s="184" t="str">
        <f t="shared" si="26"/>
        <v/>
      </c>
      <c r="E875" s="170" t="str">
        <f t="shared" si="27"/>
        <v/>
      </c>
      <c r="F875" s="170"/>
      <c r="G875" s="170"/>
      <c r="H875" s="170"/>
      <c r="I875" s="170"/>
      <c r="J875" s="170"/>
      <c r="K875" s="170"/>
      <c r="L875" s="170"/>
      <c r="M875" s="170"/>
      <c r="N875" s="170"/>
      <c r="O875" s="201"/>
    </row>
    <row r="876" spans="1:15" s="139" customFormat="1" ht="15.75">
      <c r="A876" s="205" t="str">
        <f>IF(ISNA(VLOOKUP(D876,'Standard Smelter Names'!$B$3:$E$153,4,FALSE)),"",VLOOKUP(D876,'Standard Smelter Names'!$B$3:$E$153,4,FALSE))</f>
        <v/>
      </c>
      <c r="B876" s="170"/>
      <c r="C876" s="184"/>
      <c r="D876" s="184" t="str">
        <f t="shared" si="26"/>
        <v/>
      </c>
      <c r="E876" s="170" t="str">
        <f t="shared" si="27"/>
        <v/>
      </c>
      <c r="F876" s="170"/>
      <c r="G876" s="170"/>
      <c r="H876" s="170"/>
      <c r="I876" s="170"/>
      <c r="J876" s="170"/>
      <c r="K876" s="170"/>
      <c r="L876" s="170"/>
      <c r="M876" s="170"/>
      <c r="N876" s="170"/>
      <c r="O876" s="201"/>
    </row>
    <row r="877" spans="1:15" s="139" customFormat="1" ht="15.75">
      <c r="A877" s="205" t="str">
        <f>IF(ISNA(VLOOKUP(D877,'Standard Smelter Names'!$B$3:$E$153,4,FALSE)),"",VLOOKUP(D877,'Standard Smelter Names'!$B$3:$E$153,4,FALSE))</f>
        <v/>
      </c>
      <c r="B877" s="170"/>
      <c r="C877" s="184"/>
      <c r="D877" s="184" t="str">
        <f t="shared" si="26"/>
        <v/>
      </c>
      <c r="E877" s="170" t="str">
        <f t="shared" si="27"/>
        <v/>
      </c>
      <c r="F877" s="170"/>
      <c r="G877" s="170"/>
      <c r="H877" s="170"/>
      <c r="I877" s="170"/>
      <c r="J877" s="170"/>
      <c r="K877" s="170"/>
      <c r="L877" s="170"/>
      <c r="M877" s="170"/>
      <c r="N877" s="170"/>
      <c r="O877" s="201"/>
    </row>
    <row r="878" spans="1:15" s="139" customFormat="1" ht="15.75">
      <c r="A878" s="205" t="str">
        <f>IF(ISNA(VLOOKUP(D878,'Standard Smelter Names'!$B$3:$E$153,4,FALSE)),"",VLOOKUP(D878,'Standard Smelter Names'!$B$3:$E$153,4,FALSE))</f>
        <v/>
      </c>
      <c r="B878" s="170"/>
      <c r="C878" s="184"/>
      <c r="D878" s="184" t="str">
        <f t="shared" si="26"/>
        <v/>
      </c>
      <c r="E878" s="170" t="str">
        <f t="shared" si="27"/>
        <v/>
      </c>
      <c r="F878" s="170"/>
      <c r="G878" s="170"/>
      <c r="H878" s="170"/>
      <c r="I878" s="170"/>
      <c r="J878" s="170"/>
      <c r="K878" s="170"/>
      <c r="L878" s="170"/>
      <c r="M878" s="170"/>
      <c r="N878" s="170"/>
      <c r="O878" s="201"/>
    </row>
    <row r="879" spans="1:15" s="139" customFormat="1" ht="15.75">
      <c r="A879" s="205" t="str">
        <f>IF(ISNA(VLOOKUP(D879,'Standard Smelter Names'!$B$3:$E$153,4,FALSE)),"",VLOOKUP(D879,'Standard Smelter Names'!$B$3:$E$153,4,FALSE))</f>
        <v/>
      </c>
      <c r="B879" s="170"/>
      <c r="C879" s="184"/>
      <c r="D879" s="184" t="str">
        <f t="shared" si="26"/>
        <v/>
      </c>
      <c r="E879" s="170" t="str">
        <f t="shared" si="27"/>
        <v/>
      </c>
      <c r="F879" s="170"/>
      <c r="G879" s="170"/>
      <c r="H879" s="170"/>
      <c r="I879" s="170"/>
      <c r="J879" s="170"/>
      <c r="K879" s="170"/>
      <c r="L879" s="170"/>
      <c r="M879" s="170"/>
      <c r="N879" s="170"/>
      <c r="O879" s="201"/>
    </row>
    <row r="880" spans="1:15" s="139" customFormat="1" ht="15.75">
      <c r="A880" s="205" t="str">
        <f>IF(ISNA(VLOOKUP(D880,'Standard Smelter Names'!$B$3:$E$153,4,FALSE)),"",VLOOKUP(D880,'Standard Smelter Names'!$B$3:$E$153,4,FALSE))</f>
        <v/>
      </c>
      <c r="B880" s="170"/>
      <c r="C880" s="184"/>
      <c r="D880" s="184" t="str">
        <f t="shared" si="26"/>
        <v/>
      </c>
      <c r="E880" s="170" t="str">
        <f t="shared" si="27"/>
        <v/>
      </c>
      <c r="F880" s="170"/>
      <c r="G880" s="170"/>
      <c r="H880" s="170"/>
      <c r="I880" s="170"/>
      <c r="J880" s="170"/>
      <c r="K880" s="170"/>
      <c r="L880" s="170"/>
      <c r="M880" s="170"/>
      <c r="N880" s="170"/>
      <c r="O880" s="201"/>
    </row>
    <row r="881" spans="1:15" s="139" customFormat="1" ht="15.75">
      <c r="A881" s="205" t="str">
        <f>IF(ISNA(VLOOKUP(D881,'Standard Smelter Names'!$B$3:$E$153,4,FALSE)),"",VLOOKUP(D881,'Standard Smelter Names'!$B$3:$E$153,4,FALSE))</f>
        <v/>
      </c>
      <c r="B881" s="170"/>
      <c r="C881" s="184"/>
      <c r="D881" s="184" t="str">
        <f t="shared" si="26"/>
        <v/>
      </c>
      <c r="E881" s="170" t="str">
        <f t="shared" si="27"/>
        <v/>
      </c>
      <c r="F881" s="170"/>
      <c r="G881" s="170"/>
      <c r="H881" s="170"/>
      <c r="I881" s="170"/>
      <c r="J881" s="170"/>
      <c r="K881" s="170"/>
      <c r="L881" s="170"/>
      <c r="M881" s="170"/>
      <c r="N881" s="170"/>
      <c r="O881" s="201"/>
    </row>
    <row r="882" spans="1:15" s="139" customFormat="1" ht="15.75">
      <c r="A882" s="205" t="str">
        <f>IF(ISNA(VLOOKUP(D882,'Standard Smelter Names'!$B$3:$E$153,4,FALSE)),"",VLOOKUP(D882,'Standard Smelter Names'!$B$3:$E$153,4,FALSE))</f>
        <v/>
      </c>
      <c r="B882" s="170"/>
      <c r="C882" s="184"/>
      <c r="D882" s="184" t="str">
        <f t="shared" si="26"/>
        <v/>
      </c>
      <c r="E882" s="170" t="str">
        <f t="shared" si="27"/>
        <v/>
      </c>
      <c r="F882" s="170"/>
      <c r="G882" s="170"/>
      <c r="H882" s="170"/>
      <c r="I882" s="170"/>
      <c r="J882" s="170"/>
      <c r="K882" s="170"/>
      <c r="L882" s="170"/>
      <c r="M882" s="170"/>
      <c r="N882" s="170"/>
      <c r="O882" s="201"/>
    </row>
    <row r="883" spans="1:15" s="139" customFormat="1" ht="15.75">
      <c r="A883" s="205" t="str">
        <f>IF(ISNA(VLOOKUP(D883,'Standard Smelter Names'!$B$3:$E$153,4,FALSE)),"",VLOOKUP(D883,'Standard Smelter Names'!$B$3:$E$153,4,FALSE))</f>
        <v/>
      </c>
      <c r="B883" s="170"/>
      <c r="C883" s="184"/>
      <c r="D883" s="184" t="str">
        <f t="shared" si="26"/>
        <v/>
      </c>
      <c r="E883" s="170" t="str">
        <f t="shared" si="27"/>
        <v/>
      </c>
      <c r="F883" s="170"/>
      <c r="G883" s="170"/>
      <c r="H883" s="170"/>
      <c r="I883" s="170"/>
      <c r="J883" s="170"/>
      <c r="K883" s="170"/>
      <c r="L883" s="170"/>
      <c r="M883" s="170"/>
      <c r="N883" s="170"/>
      <c r="O883" s="201"/>
    </row>
    <row r="884" spans="1:15" s="139" customFormat="1" ht="15.75">
      <c r="A884" s="205" t="str">
        <f>IF(ISNA(VLOOKUP(D884,'Standard Smelter Names'!$B$3:$E$153,4,FALSE)),"",VLOOKUP(D884,'Standard Smelter Names'!$B$3:$E$153,4,FALSE))</f>
        <v/>
      </c>
      <c r="B884" s="170"/>
      <c r="C884" s="184"/>
      <c r="D884" s="184" t="str">
        <f t="shared" si="26"/>
        <v/>
      </c>
      <c r="E884" s="170" t="str">
        <f t="shared" si="27"/>
        <v/>
      </c>
      <c r="F884" s="170"/>
      <c r="G884" s="170"/>
      <c r="H884" s="170"/>
      <c r="I884" s="170"/>
      <c r="J884" s="170"/>
      <c r="K884" s="170"/>
      <c r="L884" s="170"/>
      <c r="M884" s="170"/>
      <c r="N884" s="170"/>
      <c r="O884" s="201"/>
    </row>
    <row r="885" spans="1:15" s="139" customFormat="1" ht="15.75">
      <c r="A885" s="205" t="str">
        <f>IF(ISNA(VLOOKUP(D885,'Standard Smelter Names'!$B$3:$E$153,4,FALSE)),"",VLOOKUP(D885,'Standard Smelter Names'!$B$3:$E$153,4,FALSE))</f>
        <v/>
      </c>
      <c r="B885" s="170"/>
      <c r="C885" s="184"/>
      <c r="D885" s="184" t="str">
        <f t="shared" si="26"/>
        <v/>
      </c>
      <c r="E885" s="170" t="str">
        <f t="shared" si="27"/>
        <v/>
      </c>
      <c r="F885" s="170"/>
      <c r="G885" s="170"/>
      <c r="H885" s="170"/>
      <c r="I885" s="170"/>
      <c r="J885" s="170"/>
      <c r="K885" s="170"/>
      <c r="L885" s="170"/>
      <c r="M885" s="170"/>
      <c r="N885" s="170"/>
      <c r="O885" s="201"/>
    </row>
    <row r="886" spans="1:15" s="139" customFormat="1" ht="15.75">
      <c r="A886" s="205" t="str">
        <f>IF(ISNA(VLOOKUP(D886,'Standard Smelter Names'!$B$3:$E$153,4,FALSE)),"",VLOOKUP(D886,'Standard Smelter Names'!$B$3:$E$153,4,FALSE))</f>
        <v/>
      </c>
      <c r="B886" s="170"/>
      <c r="C886" s="184"/>
      <c r="D886" s="184" t="str">
        <f t="shared" si="26"/>
        <v/>
      </c>
      <c r="E886" s="170" t="str">
        <f t="shared" si="27"/>
        <v/>
      </c>
      <c r="F886" s="170"/>
      <c r="G886" s="170"/>
      <c r="H886" s="170"/>
      <c r="I886" s="170"/>
      <c r="J886" s="170"/>
      <c r="K886" s="170"/>
      <c r="L886" s="170"/>
      <c r="M886" s="170"/>
      <c r="N886" s="170"/>
      <c r="O886" s="201"/>
    </row>
    <row r="887" spans="1:15" s="139" customFormat="1" ht="15.75">
      <c r="A887" s="205" t="str">
        <f>IF(ISNA(VLOOKUP(D887,'Standard Smelter Names'!$B$3:$E$153,4,FALSE)),"",VLOOKUP(D887,'Standard Smelter Names'!$B$3:$E$153,4,FALSE))</f>
        <v/>
      </c>
      <c r="B887" s="170"/>
      <c r="C887" s="184"/>
      <c r="D887" s="184" t="str">
        <f t="shared" si="26"/>
        <v/>
      </c>
      <c r="E887" s="170" t="str">
        <f t="shared" si="27"/>
        <v/>
      </c>
      <c r="F887" s="170"/>
      <c r="G887" s="170"/>
      <c r="H887" s="170"/>
      <c r="I887" s="170"/>
      <c r="J887" s="170"/>
      <c r="K887" s="170"/>
      <c r="L887" s="170"/>
      <c r="M887" s="170"/>
      <c r="N887" s="170"/>
      <c r="O887" s="201"/>
    </row>
    <row r="888" spans="1:15" s="139" customFormat="1" ht="15.75">
      <c r="A888" s="205" t="str">
        <f>IF(ISNA(VLOOKUP(D888,'Standard Smelter Names'!$B$3:$E$153,4,FALSE)),"",VLOOKUP(D888,'Standard Smelter Names'!$B$3:$E$153,4,FALSE))</f>
        <v/>
      </c>
      <c r="B888" s="170"/>
      <c r="C888" s="184"/>
      <c r="D888" s="184" t="str">
        <f t="shared" si="26"/>
        <v/>
      </c>
      <c r="E888" s="170" t="str">
        <f t="shared" si="27"/>
        <v/>
      </c>
      <c r="F888" s="170"/>
      <c r="G888" s="170"/>
      <c r="H888" s="170"/>
      <c r="I888" s="170"/>
      <c r="J888" s="170"/>
      <c r="K888" s="170"/>
      <c r="L888" s="170"/>
      <c r="M888" s="170"/>
      <c r="N888" s="170"/>
      <c r="O888" s="201"/>
    </row>
    <row r="889" spans="1:15" s="139" customFormat="1" ht="15.75">
      <c r="A889" s="205" t="str">
        <f>IF(ISNA(VLOOKUP(D889,'Standard Smelter Names'!$B$3:$E$153,4,FALSE)),"",VLOOKUP(D889,'Standard Smelter Names'!$B$3:$E$153,4,FALSE))</f>
        <v/>
      </c>
      <c r="B889" s="170"/>
      <c r="C889" s="184"/>
      <c r="D889" s="184" t="str">
        <f t="shared" si="26"/>
        <v/>
      </c>
      <c r="E889" s="170" t="str">
        <f t="shared" si="27"/>
        <v/>
      </c>
      <c r="F889" s="170"/>
      <c r="G889" s="170"/>
      <c r="H889" s="170"/>
      <c r="I889" s="170"/>
      <c r="J889" s="170"/>
      <c r="K889" s="170"/>
      <c r="L889" s="170"/>
      <c r="M889" s="170"/>
      <c r="N889" s="170"/>
      <c r="O889" s="201"/>
    </row>
    <row r="890" spans="1:15" s="139" customFormat="1" ht="15.75">
      <c r="A890" s="205" t="str">
        <f>IF(ISNA(VLOOKUP(D890,'Standard Smelter Names'!$B$3:$E$153,4,FALSE)),"",VLOOKUP(D890,'Standard Smelter Names'!$B$3:$E$153,4,FALSE))</f>
        <v/>
      </c>
      <c r="B890" s="170"/>
      <c r="C890" s="184"/>
      <c r="D890" s="184" t="str">
        <f t="shared" si="26"/>
        <v/>
      </c>
      <c r="E890" s="170" t="str">
        <f t="shared" si="27"/>
        <v/>
      </c>
      <c r="F890" s="170"/>
      <c r="G890" s="170"/>
      <c r="H890" s="170"/>
      <c r="I890" s="170"/>
      <c r="J890" s="170"/>
      <c r="K890" s="170"/>
      <c r="L890" s="170"/>
      <c r="M890" s="170"/>
      <c r="N890" s="170"/>
      <c r="O890" s="201"/>
    </row>
    <row r="891" spans="1:15" s="139" customFormat="1" ht="15.75">
      <c r="A891" s="205" t="str">
        <f>IF(ISNA(VLOOKUP(D891,'Standard Smelter Names'!$B$3:$E$153,4,FALSE)),"",VLOOKUP(D891,'Standard Smelter Names'!$B$3:$E$153,4,FALSE))</f>
        <v/>
      </c>
      <c r="B891" s="170"/>
      <c r="C891" s="184"/>
      <c r="D891" s="184" t="str">
        <f t="shared" si="26"/>
        <v/>
      </c>
      <c r="E891" s="170" t="str">
        <f t="shared" si="27"/>
        <v/>
      </c>
      <c r="F891" s="170"/>
      <c r="G891" s="170"/>
      <c r="H891" s="170"/>
      <c r="I891" s="170"/>
      <c r="J891" s="170"/>
      <c r="K891" s="170"/>
      <c r="L891" s="170"/>
      <c r="M891" s="170"/>
      <c r="N891" s="170"/>
      <c r="O891" s="201"/>
    </row>
    <row r="892" spans="1:15" s="139" customFormat="1" ht="15.75">
      <c r="A892" s="205" t="str">
        <f>IF(ISNA(VLOOKUP(D892,'Standard Smelter Names'!$B$3:$E$153,4,FALSE)),"",VLOOKUP(D892,'Standard Smelter Names'!$B$3:$E$153,4,FALSE))</f>
        <v/>
      </c>
      <c r="B892" s="170"/>
      <c r="C892" s="184"/>
      <c r="D892" s="184" t="str">
        <f t="shared" si="26"/>
        <v/>
      </c>
      <c r="E892" s="170" t="str">
        <f t="shared" si="27"/>
        <v/>
      </c>
      <c r="F892" s="170"/>
      <c r="G892" s="170"/>
      <c r="H892" s="170"/>
      <c r="I892" s="170"/>
      <c r="J892" s="170"/>
      <c r="K892" s="170"/>
      <c r="L892" s="170"/>
      <c r="M892" s="170"/>
      <c r="N892" s="170"/>
      <c r="O892" s="201"/>
    </row>
    <row r="893" spans="1:15" s="139" customFormat="1" ht="15.75">
      <c r="A893" s="205" t="str">
        <f>IF(ISNA(VLOOKUP(D893,'Standard Smelter Names'!$B$3:$E$153,4,FALSE)),"",VLOOKUP(D893,'Standard Smelter Names'!$B$3:$E$153,4,FALSE))</f>
        <v/>
      </c>
      <c r="B893" s="170"/>
      <c r="C893" s="184"/>
      <c r="D893" s="184" t="str">
        <f t="shared" si="26"/>
        <v/>
      </c>
      <c r="E893" s="170" t="str">
        <f t="shared" si="27"/>
        <v/>
      </c>
      <c r="F893" s="170"/>
      <c r="G893" s="170"/>
      <c r="H893" s="170"/>
      <c r="I893" s="170"/>
      <c r="J893" s="170"/>
      <c r="K893" s="170"/>
      <c r="L893" s="170"/>
      <c r="M893" s="170"/>
      <c r="N893" s="170"/>
      <c r="O893" s="201"/>
    </row>
    <row r="894" spans="1:15" s="139" customFormat="1" ht="15.75">
      <c r="A894" s="205" t="str">
        <f>IF(ISNA(VLOOKUP(D894,'Standard Smelter Names'!$B$3:$E$153,4,FALSE)),"",VLOOKUP(D894,'Standard Smelter Names'!$B$3:$E$153,4,FALSE))</f>
        <v/>
      </c>
      <c r="B894" s="170"/>
      <c r="C894" s="184"/>
      <c r="D894" s="184" t="str">
        <f t="shared" si="26"/>
        <v/>
      </c>
      <c r="E894" s="170" t="str">
        <f t="shared" si="27"/>
        <v/>
      </c>
      <c r="F894" s="170"/>
      <c r="G894" s="170"/>
      <c r="H894" s="170"/>
      <c r="I894" s="170"/>
      <c r="J894" s="170"/>
      <c r="K894" s="170"/>
      <c r="L894" s="170"/>
      <c r="M894" s="170"/>
      <c r="N894" s="170"/>
      <c r="O894" s="201"/>
    </row>
    <row r="895" spans="1:15" s="139" customFormat="1" ht="15.75">
      <c r="A895" s="205" t="str">
        <f>IF(ISNA(VLOOKUP(D895,'Standard Smelter Names'!$B$3:$E$153,4,FALSE)),"",VLOOKUP(D895,'Standard Smelter Names'!$B$3:$E$153,4,FALSE))</f>
        <v/>
      </c>
      <c r="B895" s="170"/>
      <c r="C895" s="184"/>
      <c r="D895" s="184" t="str">
        <f t="shared" si="26"/>
        <v/>
      </c>
      <c r="E895" s="170" t="str">
        <f t="shared" si="27"/>
        <v/>
      </c>
      <c r="F895" s="170"/>
      <c r="G895" s="170"/>
      <c r="H895" s="170"/>
      <c r="I895" s="170"/>
      <c r="J895" s="170"/>
      <c r="K895" s="170"/>
      <c r="L895" s="170"/>
      <c r="M895" s="170"/>
      <c r="N895" s="170"/>
      <c r="O895" s="201"/>
    </row>
    <row r="896" spans="1:15" s="139" customFormat="1" ht="15.75">
      <c r="A896" s="205" t="str">
        <f>IF(ISNA(VLOOKUP(D896,'Standard Smelter Names'!$B$3:$E$153,4,FALSE)),"",VLOOKUP(D896,'Standard Smelter Names'!$B$3:$E$153,4,FALSE))</f>
        <v/>
      </c>
      <c r="B896" s="170"/>
      <c r="C896" s="184"/>
      <c r="D896" s="184" t="str">
        <f t="shared" si="26"/>
        <v/>
      </c>
      <c r="E896" s="170" t="str">
        <f t="shared" si="27"/>
        <v/>
      </c>
      <c r="F896" s="170"/>
      <c r="G896" s="170"/>
      <c r="H896" s="170"/>
      <c r="I896" s="170"/>
      <c r="J896" s="170"/>
      <c r="K896" s="170"/>
      <c r="L896" s="170"/>
      <c r="M896" s="170"/>
      <c r="N896" s="170"/>
      <c r="O896" s="201"/>
    </row>
    <row r="897" spans="1:15" s="139" customFormat="1" ht="15.75">
      <c r="A897" s="205" t="str">
        <f>IF(ISNA(VLOOKUP(D897,'Standard Smelter Names'!$B$3:$E$153,4,FALSE)),"",VLOOKUP(D897,'Standard Smelter Names'!$B$3:$E$153,4,FALSE))</f>
        <v/>
      </c>
      <c r="B897" s="170"/>
      <c r="C897" s="184"/>
      <c r="D897" s="184" t="str">
        <f t="shared" si="26"/>
        <v/>
      </c>
      <c r="E897" s="170" t="str">
        <f t="shared" si="27"/>
        <v/>
      </c>
      <c r="F897" s="170"/>
      <c r="G897" s="170"/>
      <c r="H897" s="170"/>
      <c r="I897" s="170"/>
      <c r="J897" s="170"/>
      <c r="K897" s="170"/>
      <c r="L897" s="170"/>
      <c r="M897" s="170"/>
      <c r="N897" s="170"/>
      <c r="O897" s="201"/>
    </row>
    <row r="898" spans="1:15" s="139" customFormat="1" ht="15.75">
      <c r="A898" s="205" t="str">
        <f>IF(ISNA(VLOOKUP(D898,'Standard Smelter Names'!$B$3:$E$153,4,FALSE)),"",VLOOKUP(D898,'Standard Smelter Names'!$B$3:$E$153,4,FALSE))</f>
        <v/>
      </c>
      <c r="B898" s="170"/>
      <c r="C898" s="184"/>
      <c r="D898" s="184" t="str">
        <f t="shared" si="26"/>
        <v/>
      </c>
      <c r="E898" s="170" t="str">
        <f t="shared" si="27"/>
        <v/>
      </c>
      <c r="F898" s="170"/>
      <c r="G898" s="170"/>
      <c r="H898" s="170"/>
      <c r="I898" s="170"/>
      <c r="J898" s="170"/>
      <c r="K898" s="170"/>
      <c r="L898" s="170"/>
      <c r="M898" s="170"/>
      <c r="N898" s="170"/>
      <c r="O898" s="201"/>
    </row>
    <row r="899" spans="1:15" s="139" customFormat="1" ht="15.75">
      <c r="A899" s="205" t="str">
        <f>IF(ISNA(VLOOKUP(D899,'Standard Smelter Names'!$B$3:$E$153,4,FALSE)),"",VLOOKUP(D899,'Standard Smelter Names'!$B$3:$E$153,4,FALSE))</f>
        <v/>
      </c>
      <c r="B899" s="170"/>
      <c r="C899" s="184"/>
      <c r="D899" s="184" t="str">
        <f t="shared" si="26"/>
        <v/>
      </c>
      <c r="E899" s="170" t="str">
        <f t="shared" si="27"/>
        <v/>
      </c>
      <c r="F899" s="170"/>
      <c r="G899" s="170"/>
      <c r="H899" s="170"/>
      <c r="I899" s="170"/>
      <c r="J899" s="170"/>
      <c r="K899" s="170"/>
      <c r="L899" s="170"/>
      <c r="M899" s="170"/>
      <c r="N899" s="170"/>
      <c r="O899" s="201"/>
    </row>
    <row r="900" spans="1:15" s="139" customFormat="1" ht="15.75">
      <c r="A900" s="205" t="str">
        <f>IF(ISNA(VLOOKUP(D900,'Standard Smelter Names'!$B$3:$E$153,4,FALSE)),"",VLOOKUP(D900,'Standard Smelter Names'!$B$3:$E$153,4,FALSE))</f>
        <v/>
      </c>
      <c r="B900" s="170"/>
      <c r="C900" s="184"/>
      <c r="D900" s="184" t="str">
        <f t="shared" si="26"/>
        <v/>
      </c>
      <c r="E900" s="170" t="str">
        <f t="shared" si="27"/>
        <v/>
      </c>
      <c r="F900" s="170"/>
      <c r="G900" s="170"/>
      <c r="H900" s="170"/>
      <c r="I900" s="170"/>
      <c r="J900" s="170"/>
      <c r="K900" s="170"/>
      <c r="L900" s="170"/>
      <c r="M900" s="170"/>
      <c r="N900" s="170"/>
      <c r="O900" s="201"/>
    </row>
    <row r="901" spans="1:15" s="139" customFormat="1" ht="15.75">
      <c r="A901" s="205" t="str">
        <f>IF(ISNA(VLOOKUP(D901,'Standard Smelter Names'!$B$3:$E$153,4,FALSE)),"",VLOOKUP(D901,'Standard Smelter Names'!$B$3:$E$153,4,FALSE))</f>
        <v/>
      </c>
      <c r="B901" s="170"/>
      <c r="C901" s="184"/>
      <c r="D901" s="184" t="str">
        <f t="shared" ref="D901:D964" si="28">IF(ISNA(VLOOKUP(C901,$G$1023:$I$1309,3,FALSE)),"",VLOOKUP(C901,$G$1023:$I$1309,3,FALSE))</f>
        <v/>
      </c>
      <c r="E901" s="170" t="str">
        <f t="shared" ref="E901:E964" si="29">IF(ISNA(VLOOKUP(C901,$G$1023:$I$1309,2,FALSE)),"",VLOOKUP(C901,$G$1023:$I$1309,2,FALSE))</f>
        <v/>
      </c>
      <c r="F901" s="170"/>
      <c r="G901" s="170"/>
      <c r="H901" s="170"/>
      <c r="I901" s="170"/>
      <c r="J901" s="170"/>
      <c r="K901" s="170"/>
      <c r="L901" s="170"/>
      <c r="M901" s="170"/>
      <c r="N901" s="170"/>
      <c r="O901" s="201"/>
    </row>
    <row r="902" spans="1:15" s="139" customFormat="1" ht="15.75">
      <c r="A902" s="205" t="str">
        <f>IF(ISNA(VLOOKUP(D902,'Standard Smelter Names'!$B$3:$E$153,4,FALSE)),"",VLOOKUP(D902,'Standard Smelter Names'!$B$3:$E$153,4,FALSE))</f>
        <v/>
      </c>
      <c r="B902" s="170"/>
      <c r="C902" s="184"/>
      <c r="D902" s="184" t="str">
        <f t="shared" si="28"/>
        <v/>
      </c>
      <c r="E902" s="170" t="str">
        <f t="shared" si="29"/>
        <v/>
      </c>
      <c r="F902" s="170"/>
      <c r="G902" s="170"/>
      <c r="H902" s="170"/>
      <c r="I902" s="170"/>
      <c r="J902" s="170"/>
      <c r="K902" s="170"/>
      <c r="L902" s="170"/>
      <c r="M902" s="170"/>
      <c r="N902" s="170"/>
      <c r="O902" s="201"/>
    </row>
    <row r="903" spans="1:15" s="139" customFormat="1" ht="15.75">
      <c r="A903" s="205" t="str">
        <f>IF(ISNA(VLOOKUP(D903,'Standard Smelter Names'!$B$3:$E$153,4,FALSE)),"",VLOOKUP(D903,'Standard Smelter Names'!$B$3:$E$153,4,FALSE))</f>
        <v/>
      </c>
      <c r="B903" s="170"/>
      <c r="C903" s="184"/>
      <c r="D903" s="184" t="str">
        <f t="shared" si="28"/>
        <v/>
      </c>
      <c r="E903" s="170" t="str">
        <f t="shared" si="29"/>
        <v/>
      </c>
      <c r="F903" s="170"/>
      <c r="G903" s="170"/>
      <c r="H903" s="170"/>
      <c r="I903" s="170"/>
      <c r="J903" s="170"/>
      <c r="K903" s="170"/>
      <c r="L903" s="170"/>
      <c r="M903" s="170"/>
      <c r="N903" s="170"/>
      <c r="O903" s="201"/>
    </row>
    <row r="904" spans="1:15" s="139" customFormat="1" ht="15.75">
      <c r="A904" s="205" t="str">
        <f>IF(ISNA(VLOOKUP(D904,'Standard Smelter Names'!$B$3:$E$153,4,FALSE)),"",VLOOKUP(D904,'Standard Smelter Names'!$B$3:$E$153,4,FALSE))</f>
        <v/>
      </c>
      <c r="B904" s="170"/>
      <c r="C904" s="184"/>
      <c r="D904" s="184" t="str">
        <f t="shared" si="28"/>
        <v/>
      </c>
      <c r="E904" s="170" t="str">
        <f t="shared" si="29"/>
        <v/>
      </c>
      <c r="F904" s="170"/>
      <c r="G904" s="170"/>
      <c r="H904" s="170"/>
      <c r="I904" s="170"/>
      <c r="J904" s="170"/>
      <c r="K904" s="170"/>
      <c r="L904" s="170"/>
      <c r="M904" s="170"/>
      <c r="N904" s="170"/>
      <c r="O904" s="201"/>
    </row>
    <row r="905" spans="1:15" s="139" customFormat="1" ht="15.75">
      <c r="A905" s="205" t="str">
        <f>IF(ISNA(VLOOKUP(D905,'Standard Smelter Names'!$B$3:$E$153,4,FALSE)),"",VLOOKUP(D905,'Standard Smelter Names'!$B$3:$E$153,4,FALSE))</f>
        <v/>
      </c>
      <c r="B905" s="170"/>
      <c r="C905" s="184"/>
      <c r="D905" s="184" t="str">
        <f t="shared" si="28"/>
        <v/>
      </c>
      <c r="E905" s="170" t="str">
        <f t="shared" si="29"/>
        <v/>
      </c>
      <c r="F905" s="170"/>
      <c r="G905" s="170"/>
      <c r="H905" s="170"/>
      <c r="I905" s="170"/>
      <c r="J905" s="170"/>
      <c r="K905" s="170"/>
      <c r="L905" s="170"/>
      <c r="M905" s="170"/>
      <c r="N905" s="170"/>
      <c r="O905" s="201"/>
    </row>
    <row r="906" spans="1:15" s="139" customFormat="1" ht="15.75">
      <c r="A906" s="205" t="str">
        <f>IF(ISNA(VLOOKUP(D906,'Standard Smelter Names'!$B$3:$E$153,4,FALSE)),"",VLOOKUP(D906,'Standard Smelter Names'!$B$3:$E$153,4,FALSE))</f>
        <v/>
      </c>
      <c r="B906" s="170"/>
      <c r="C906" s="184"/>
      <c r="D906" s="184" t="str">
        <f t="shared" si="28"/>
        <v/>
      </c>
      <c r="E906" s="170" t="str">
        <f t="shared" si="29"/>
        <v/>
      </c>
      <c r="F906" s="170"/>
      <c r="G906" s="170"/>
      <c r="H906" s="170"/>
      <c r="I906" s="170"/>
      <c r="J906" s="170"/>
      <c r="K906" s="170"/>
      <c r="L906" s="170"/>
      <c r="M906" s="170"/>
      <c r="N906" s="170"/>
      <c r="O906" s="201"/>
    </row>
    <row r="907" spans="1:15" s="139" customFormat="1" ht="15.75">
      <c r="A907" s="205" t="str">
        <f>IF(ISNA(VLOOKUP(D907,'Standard Smelter Names'!$B$3:$E$153,4,FALSE)),"",VLOOKUP(D907,'Standard Smelter Names'!$B$3:$E$153,4,FALSE))</f>
        <v/>
      </c>
      <c r="B907" s="170"/>
      <c r="C907" s="184"/>
      <c r="D907" s="184" t="str">
        <f t="shared" si="28"/>
        <v/>
      </c>
      <c r="E907" s="170" t="str">
        <f t="shared" si="29"/>
        <v/>
      </c>
      <c r="F907" s="170"/>
      <c r="G907" s="170"/>
      <c r="H907" s="170"/>
      <c r="I907" s="170"/>
      <c r="J907" s="170"/>
      <c r="K907" s="170"/>
      <c r="L907" s="170"/>
      <c r="M907" s="170"/>
      <c r="N907" s="170"/>
      <c r="O907" s="201"/>
    </row>
    <row r="908" spans="1:15" s="139" customFormat="1" ht="15.75">
      <c r="A908" s="205" t="str">
        <f>IF(ISNA(VLOOKUP(D908,'Standard Smelter Names'!$B$3:$E$153,4,FALSE)),"",VLOOKUP(D908,'Standard Smelter Names'!$B$3:$E$153,4,FALSE))</f>
        <v/>
      </c>
      <c r="B908" s="170"/>
      <c r="C908" s="184"/>
      <c r="D908" s="184" t="str">
        <f t="shared" si="28"/>
        <v/>
      </c>
      <c r="E908" s="170" t="str">
        <f t="shared" si="29"/>
        <v/>
      </c>
      <c r="F908" s="170"/>
      <c r="G908" s="170"/>
      <c r="H908" s="170"/>
      <c r="I908" s="170"/>
      <c r="J908" s="170"/>
      <c r="K908" s="170"/>
      <c r="L908" s="170"/>
      <c r="M908" s="170"/>
      <c r="N908" s="170"/>
      <c r="O908" s="201"/>
    </row>
    <row r="909" spans="1:15" s="139" customFormat="1" ht="15.75">
      <c r="A909" s="205" t="str">
        <f>IF(ISNA(VLOOKUP(D909,'Standard Smelter Names'!$B$3:$E$153,4,FALSE)),"",VLOOKUP(D909,'Standard Smelter Names'!$B$3:$E$153,4,FALSE))</f>
        <v/>
      </c>
      <c r="B909" s="170"/>
      <c r="C909" s="184"/>
      <c r="D909" s="184" t="str">
        <f t="shared" si="28"/>
        <v/>
      </c>
      <c r="E909" s="170" t="str">
        <f t="shared" si="29"/>
        <v/>
      </c>
      <c r="F909" s="170"/>
      <c r="G909" s="170"/>
      <c r="H909" s="170"/>
      <c r="I909" s="170"/>
      <c r="J909" s="170"/>
      <c r="K909" s="170"/>
      <c r="L909" s="170"/>
      <c r="M909" s="170"/>
      <c r="N909" s="170"/>
      <c r="O909" s="201"/>
    </row>
    <row r="910" spans="1:15" s="139" customFormat="1" ht="15.75">
      <c r="A910" s="205" t="str">
        <f>IF(ISNA(VLOOKUP(D910,'Standard Smelter Names'!$B$3:$E$153,4,FALSE)),"",VLOOKUP(D910,'Standard Smelter Names'!$B$3:$E$153,4,FALSE))</f>
        <v/>
      </c>
      <c r="B910" s="170"/>
      <c r="C910" s="184"/>
      <c r="D910" s="184" t="str">
        <f t="shared" si="28"/>
        <v/>
      </c>
      <c r="E910" s="170" t="str">
        <f t="shared" si="29"/>
        <v/>
      </c>
      <c r="F910" s="170"/>
      <c r="G910" s="170"/>
      <c r="H910" s="170"/>
      <c r="I910" s="170"/>
      <c r="J910" s="170"/>
      <c r="K910" s="170"/>
      <c r="L910" s="170"/>
      <c r="M910" s="170"/>
      <c r="N910" s="170"/>
      <c r="O910" s="201"/>
    </row>
    <row r="911" spans="1:15" s="139" customFormat="1" ht="15.75">
      <c r="A911" s="205" t="str">
        <f>IF(ISNA(VLOOKUP(D911,'Standard Smelter Names'!$B$3:$E$153,4,FALSE)),"",VLOOKUP(D911,'Standard Smelter Names'!$B$3:$E$153,4,FALSE))</f>
        <v/>
      </c>
      <c r="B911" s="170"/>
      <c r="C911" s="184"/>
      <c r="D911" s="184" t="str">
        <f t="shared" si="28"/>
        <v/>
      </c>
      <c r="E911" s="170" t="str">
        <f t="shared" si="29"/>
        <v/>
      </c>
      <c r="F911" s="170"/>
      <c r="G911" s="170"/>
      <c r="H911" s="170"/>
      <c r="I911" s="170"/>
      <c r="J911" s="170"/>
      <c r="K911" s="170"/>
      <c r="L911" s="170"/>
      <c r="M911" s="170"/>
      <c r="N911" s="170"/>
      <c r="O911" s="201"/>
    </row>
    <row r="912" spans="1:15" s="139" customFormat="1" ht="15.75">
      <c r="A912" s="205" t="str">
        <f>IF(ISNA(VLOOKUP(D912,'Standard Smelter Names'!$B$3:$E$153,4,FALSE)),"",VLOOKUP(D912,'Standard Smelter Names'!$B$3:$E$153,4,FALSE))</f>
        <v/>
      </c>
      <c r="B912" s="170"/>
      <c r="C912" s="184"/>
      <c r="D912" s="184" t="str">
        <f t="shared" si="28"/>
        <v/>
      </c>
      <c r="E912" s="170" t="str">
        <f t="shared" si="29"/>
        <v/>
      </c>
      <c r="F912" s="170"/>
      <c r="G912" s="170"/>
      <c r="H912" s="170"/>
      <c r="I912" s="170"/>
      <c r="J912" s="170"/>
      <c r="K912" s="170"/>
      <c r="L912" s="170"/>
      <c r="M912" s="170"/>
      <c r="N912" s="170"/>
      <c r="O912" s="201"/>
    </row>
    <row r="913" spans="1:15" s="139" customFormat="1" ht="15.75">
      <c r="A913" s="205" t="str">
        <f>IF(ISNA(VLOOKUP(D913,'Standard Smelter Names'!$B$3:$E$153,4,FALSE)),"",VLOOKUP(D913,'Standard Smelter Names'!$B$3:$E$153,4,FALSE))</f>
        <v/>
      </c>
      <c r="B913" s="170"/>
      <c r="C913" s="184"/>
      <c r="D913" s="184" t="str">
        <f t="shared" si="28"/>
        <v/>
      </c>
      <c r="E913" s="170" t="str">
        <f t="shared" si="29"/>
        <v/>
      </c>
      <c r="F913" s="170"/>
      <c r="G913" s="170"/>
      <c r="H913" s="170"/>
      <c r="I913" s="170"/>
      <c r="J913" s="170"/>
      <c r="K913" s="170"/>
      <c r="L913" s="170"/>
      <c r="M913" s="170"/>
      <c r="N913" s="170"/>
      <c r="O913" s="201"/>
    </row>
    <row r="914" spans="1:15" s="139" customFormat="1" ht="15.75">
      <c r="A914" s="205" t="str">
        <f>IF(ISNA(VLOOKUP(D914,'Standard Smelter Names'!$B$3:$E$153,4,FALSE)),"",VLOOKUP(D914,'Standard Smelter Names'!$B$3:$E$153,4,FALSE))</f>
        <v/>
      </c>
      <c r="B914" s="170"/>
      <c r="C914" s="184"/>
      <c r="D914" s="184" t="str">
        <f t="shared" si="28"/>
        <v/>
      </c>
      <c r="E914" s="170" t="str">
        <f t="shared" si="29"/>
        <v/>
      </c>
      <c r="F914" s="170"/>
      <c r="G914" s="170"/>
      <c r="H914" s="170"/>
      <c r="I914" s="170"/>
      <c r="J914" s="170"/>
      <c r="K914" s="170"/>
      <c r="L914" s="170"/>
      <c r="M914" s="170"/>
      <c r="N914" s="170"/>
      <c r="O914" s="201"/>
    </row>
    <row r="915" spans="1:15" s="139" customFormat="1" ht="15.75">
      <c r="A915" s="205" t="str">
        <f>IF(ISNA(VLOOKUP(D915,'Standard Smelter Names'!$B$3:$E$153,4,FALSE)),"",VLOOKUP(D915,'Standard Smelter Names'!$B$3:$E$153,4,FALSE))</f>
        <v/>
      </c>
      <c r="B915" s="170"/>
      <c r="C915" s="184"/>
      <c r="D915" s="184" t="str">
        <f t="shared" si="28"/>
        <v/>
      </c>
      <c r="E915" s="170" t="str">
        <f t="shared" si="29"/>
        <v/>
      </c>
      <c r="F915" s="170"/>
      <c r="G915" s="170"/>
      <c r="H915" s="170"/>
      <c r="I915" s="170"/>
      <c r="J915" s="170"/>
      <c r="K915" s="170"/>
      <c r="L915" s="170"/>
      <c r="M915" s="170"/>
      <c r="N915" s="170"/>
      <c r="O915" s="201"/>
    </row>
    <row r="916" spans="1:15" s="139" customFormat="1" ht="15.75">
      <c r="A916" s="205" t="str">
        <f>IF(ISNA(VLOOKUP(D916,'Standard Smelter Names'!$B$3:$E$153,4,FALSE)),"",VLOOKUP(D916,'Standard Smelter Names'!$B$3:$E$153,4,FALSE))</f>
        <v/>
      </c>
      <c r="B916" s="170"/>
      <c r="C916" s="184"/>
      <c r="D916" s="184" t="str">
        <f t="shared" si="28"/>
        <v/>
      </c>
      <c r="E916" s="170" t="str">
        <f t="shared" si="29"/>
        <v/>
      </c>
      <c r="F916" s="170"/>
      <c r="G916" s="170"/>
      <c r="H916" s="170"/>
      <c r="I916" s="170"/>
      <c r="J916" s="170"/>
      <c r="K916" s="170"/>
      <c r="L916" s="170"/>
      <c r="M916" s="170"/>
      <c r="N916" s="170"/>
      <c r="O916" s="201"/>
    </row>
    <row r="917" spans="1:15" s="139" customFormat="1" ht="15.75">
      <c r="A917" s="205" t="str">
        <f>IF(ISNA(VLOOKUP(D917,'Standard Smelter Names'!$B$3:$E$153,4,FALSE)),"",VLOOKUP(D917,'Standard Smelter Names'!$B$3:$E$153,4,FALSE))</f>
        <v/>
      </c>
      <c r="B917" s="170"/>
      <c r="C917" s="184"/>
      <c r="D917" s="184" t="str">
        <f t="shared" si="28"/>
        <v/>
      </c>
      <c r="E917" s="170" t="str">
        <f t="shared" si="29"/>
        <v/>
      </c>
      <c r="F917" s="170"/>
      <c r="G917" s="170"/>
      <c r="H917" s="170"/>
      <c r="I917" s="170"/>
      <c r="J917" s="170"/>
      <c r="K917" s="170"/>
      <c r="L917" s="170"/>
      <c r="M917" s="170"/>
      <c r="N917" s="170"/>
      <c r="O917" s="201"/>
    </row>
    <row r="918" spans="1:15" s="139" customFormat="1" ht="15.75">
      <c r="A918" s="205" t="str">
        <f>IF(ISNA(VLOOKUP(D918,'Standard Smelter Names'!$B$3:$E$153,4,FALSE)),"",VLOOKUP(D918,'Standard Smelter Names'!$B$3:$E$153,4,FALSE))</f>
        <v/>
      </c>
      <c r="B918" s="170"/>
      <c r="C918" s="184"/>
      <c r="D918" s="184" t="str">
        <f t="shared" si="28"/>
        <v/>
      </c>
      <c r="E918" s="170" t="str">
        <f t="shared" si="29"/>
        <v/>
      </c>
      <c r="F918" s="170"/>
      <c r="G918" s="170"/>
      <c r="H918" s="170"/>
      <c r="I918" s="170"/>
      <c r="J918" s="170"/>
      <c r="K918" s="170"/>
      <c r="L918" s="170"/>
      <c r="M918" s="170"/>
      <c r="N918" s="170"/>
      <c r="O918" s="201"/>
    </row>
    <row r="919" spans="1:15" s="139" customFormat="1" ht="15.75">
      <c r="A919" s="205" t="str">
        <f>IF(ISNA(VLOOKUP(D919,'Standard Smelter Names'!$B$3:$E$153,4,FALSE)),"",VLOOKUP(D919,'Standard Smelter Names'!$B$3:$E$153,4,FALSE))</f>
        <v/>
      </c>
      <c r="B919" s="170"/>
      <c r="C919" s="184"/>
      <c r="D919" s="184" t="str">
        <f t="shared" si="28"/>
        <v/>
      </c>
      <c r="E919" s="170" t="str">
        <f t="shared" si="29"/>
        <v/>
      </c>
      <c r="F919" s="170"/>
      <c r="G919" s="170"/>
      <c r="H919" s="170"/>
      <c r="I919" s="170"/>
      <c r="J919" s="170"/>
      <c r="K919" s="170"/>
      <c r="L919" s="170"/>
      <c r="M919" s="170"/>
      <c r="N919" s="170"/>
      <c r="O919" s="201"/>
    </row>
    <row r="920" spans="1:15" s="139" customFormat="1" ht="15.75">
      <c r="A920" s="205" t="str">
        <f>IF(ISNA(VLOOKUP(D920,'Standard Smelter Names'!$B$3:$E$153,4,FALSE)),"",VLOOKUP(D920,'Standard Smelter Names'!$B$3:$E$153,4,FALSE))</f>
        <v/>
      </c>
      <c r="B920" s="170"/>
      <c r="C920" s="184"/>
      <c r="D920" s="184" t="str">
        <f t="shared" si="28"/>
        <v/>
      </c>
      <c r="E920" s="170" t="str">
        <f t="shared" si="29"/>
        <v/>
      </c>
      <c r="F920" s="170"/>
      <c r="G920" s="170"/>
      <c r="H920" s="170"/>
      <c r="I920" s="170"/>
      <c r="J920" s="170"/>
      <c r="K920" s="170"/>
      <c r="L920" s="170"/>
      <c r="M920" s="170"/>
      <c r="N920" s="170"/>
      <c r="O920" s="201"/>
    </row>
    <row r="921" spans="1:15" s="139" customFormat="1" ht="15.75">
      <c r="A921" s="205" t="str">
        <f>IF(ISNA(VLOOKUP(D921,'Standard Smelter Names'!$B$3:$E$153,4,FALSE)),"",VLOOKUP(D921,'Standard Smelter Names'!$B$3:$E$153,4,FALSE))</f>
        <v/>
      </c>
      <c r="B921" s="170"/>
      <c r="C921" s="184"/>
      <c r="D921" s="184" t="str">
        <f t="shared" si="28"/>
        <v/>
      </c>
      <c r="E921" s="170" t="str">
        <f t="shared" si="29"/>
        <v/>
      </c>
      <c r="F921" s="170"/>
      <c r="G921" s="170"/>
      <c r="H921" s="170"/>
      <c r="I921" s="170"/>
      <c r="J921" s="170"/>
      <c r="K921" s="170"/>
      <c r="L921" s="170"/>
      <c r="M921" s="170"/>
      <c r="N921" s="170"/>
      <c r="O921" s="201"/>
    </row>
    <row r="922" spans="1:15" s="139" customFormat="1" ht="15.75">
      <c r="A922" s="205" t="str">
        <f>IF(ISNA(VLOOKUP(D922,'Standard Smelter Names'!$B$3:$E$153,4,FALSE)),"",VLOOKUP(D922,'Standard Smelter Names'!$B$3:$E$153,4,FALSE))</f>
        <v/>
      </c>
      <c r="B922" s="170"/>
      <c r="C922" s="184"/>
      <c r="D922" s="184" t="str">
        <f t="shared" si="28"/>
        <v/>
      </c>
      <c r="E922" s="170" t="str">
        <f t="shared" si="29"/>
        <v/>
      </c>
      <c r="F922" s="170"/>
      <c r="G922" s="170"/>
      <c r="H922" s="170"/>
      <c r="I922" s="170"/>
      <c r="J922" s="170"/>
      <c r="K922" s="170"/>
      <c r="L922" s="170"/>
      <c r="M922" s="170"/>
      <c r="N922" s="170"/>
      <c r="O922" s="201"/>
    </row>
    <row r="923" spans="1:15" s="139" customFormat="1" ht="15.75">
      <c r="A923" s="205" t="str">
        <f>IF(ISNA(VLOOKUP(D923,'Standard Smelter Names'!$B$3:$E$153,4,FALSE)),"",VLOOKUP(D923,'Standard Smelter Names'!$B$3:$E$153,4,FALSE))</f>
        <v/>
      </c>
      <c r="B923" s="170"/>
      <c r="C923" s="184"/>
      <c r="D923" s="184" t="str">
        <f t="shared" si="28"/>
        <v/>
      </c>
      <c r="E923" s="170" t="str">
        <f t="shared" si="29"/>
        <v/>
      </c>
      <c r="F923" s="170"/>
      <c r="G923" s="170"/>
      <c r="H923" s="170"/>
      <c r="I923" s="170"/>
      <c r="J923" s="170"/>
      <c r="K923" s="170"/>
      <c r="L923" s="170"/>
      <c r="M923" s="170"/>
      <c r="N923" s="170"/>
      <c r="O923" s="201"/>
    </row>
    <row r="924" spans="1:15" s="139" customFormat="1" ht="15.75">
      <c r="A924" s="205" t="str">
        <f>IF(ISNA(VLOOKUP(D924,'Standard Smelter Names'!$B$3:$E$153,4,FALSE)),"",VLOOKUP(D924,'Standard Smelter Names'!$B$3:$E$153,4,FALSE))</f>
        <v/>
      </c>
      <c r="B924" s="170"/>
      <c r="C924" s="184"/>
      <c r="D924" s="184" t="str">
        <f t="shared" si="28"/>
        <v/>
      </c>
      <c r="E924" s="170" t="str">
        <f t="shared" si="29"/>
        <v/>
      </c>
      <c r="F924" s="170"/>
      <c r="G924" s="170"/>
      <c r="H924" s="170"/>
      <c r="I924" s="170"/>
      <c r="J924" s="170"/>
      <c r="K924" s="170"/>
      <c r="L924" s="170"/>
      <c r="M924" s="170"/>
      <c r="N924" s="170"/>
      <c r="O924" s="201"/>
    </row>
    <row r="925" spans="1:15" s="139" customFormat="1" ht="15.75">
      <c r="A925" s="205" t="str">
        <f>IF(ISNA(VLOOKUP(D925,'Standard Smelter Names'!$B$3:$E$153,4,FALSE)),"",VLOOKUP(D925,'Standard Smelter Names'!$B$3:$E$153,4,FALSE))</f>
        <v/>
      </c>
      <c r="B925" s="170"/>
      <c r="C925" s="184"/>
      <c r="D925" s="184" t="str">
        <f t="shared" si="28"/>
        <v/>
      </c>
      <c r="E925" s="170" t="str">
        <f t="shared" si="29"/>
        <v/>
      </c>
      <c r="F925" s="170"/>
      <c r="G925" s="170"/>
      <c r="H925" s="170"/>
      <c r="I925" s="170"/>
      <c r="J925" s="170"/>
      <c r="K925" s="170"/>
      <c r="L925" s="170"/>
      <c r="M925" s="170"/>
      <c r="N925" s="170"/>
      <c r="O925" s="201"/>
    </row>
    <row r="926" spans="1:15" s="139" customFormat="1" ht="15.75">
      <c r="A926" s="205" t="str">
        <f>IF(ISNA(VLOOKUP(D926,'Standard Smelter Names'!$B$3:$E$153,4,FALSE)),"",VLOOKUP(D926,'Standard Smelter Names'!$B$3:$E$153,4,FALSE))</f>
        <v/>
      </c>
      <c r="B926" s="170"/>
      <c r="C926" s="184"/>
      <c r="D926" s="184" t="str">
        <f t="shared" si="28"/>
        <v/>
      </c>
      <c r="E926" s="170" t="str">
        <f t="shared" si="29"/>
        <v/>
      </c>
      <c r="F926" s="170"/>
      <c r="G926" s="170"/>
      <c r="H926" s="170"/>
      <c r="I926" s="170"/>
      <c r="J926" s="170"/>
      <c r="K926" s="170"/>
      <c r="L926" s="170"/>
      <c r="M926" s="170"/>
      <c r="N926" s="170"/>
      <c r="O926" s="201"/>
    </row>
    <row r="927" spans="1:15" s="139" customFormat="1" ht="15.75">
      <c r="A927" s="205" t="str">
        <f>IF(ISNA(VLOOKUP(D927,'Standard Smelter Names'!$B$3:$E$153,4,FALSE)),"",VLOOKUP(D927,'Standard Smelter Names'!$B$3:$E$153,4,FALSE))</f>
        <v/>
      </c>
      <c r="B927" s="170"/>
      <c r="C927" s="184"/>
      <c r="D927" s="184" t="str">
        <f t="shared" si="28"/>
        <v/>
      </c>
      <c r="E927" s="170" t="str">
        <f t="shared" si="29"/>
        <v/>
      </c>
      <c r="F927" s="170"/>
      <c r="G927" s="170"/>
      <c r="H927" s="170"/>
      <c r="I927" s="170"/>
      <c r="J927" s="170"/>
      <c r="K927" s="170"/>
      <c r="L927" s="170"/>
      <c r="M927" s="170"/>
      <c r="N927" s="170"/>
      <c r="O927" s="201"/>
    </row>
    <row r="928" spans="1:15" s="139" customFormat="1" ht="15.75">
      <c r="A928" s="205" t="str">
        <f>IF(ISNA(VLOOKUP(D928,'Standard Smelter Names'!$B$3:$E$153,4,FALSE)),"",VLOOKUP(D928,'Standard Smelter Names'!$B$3:$E$153,4,FALSE))</f>
        <v/>
      </c>
      <c r="B928" s="170"/>
      <c r="C928" s="184"/>
      <c r="D928" s="184" t="str">
        <f t="shared" si="28"/>
        <v/>
      </c>
      <c r="E928" s="170" t="str">
        <f t="shared" si="29"/>
        <v/>
      </c>
      <c r="F928" s="170"/>
      <c r="G928" s="170"/>
      <c r="H928" s="170"/>
      <c r="I928" s="170"/>
      <c r="J928" s="170"/>
      <c r="K928" s="170"/>
      <c r="L928" s="170"/>
      <c r="M928" s="170"/>
      <c r="N928" s="170"/>
      <c r="O928" s="201"/>
    </row>
    <row r="929" spans="1:15" s="139" customFormat="1" ht="15.75">
      <c r="A929" s="205" t="str">
        <f>IF(ISNA(VLOOKUP(D929,'Standard Smelter Names'!$B$3:$E$153,4,FALSE)),"",VLOOKUP(D929,'Standard Smelter Names'!$B$3:$E$153,4,FALSE))</f>
        <v/>
      </c>
      <c r="B929" s="170"/>
      <c r="C929" s="184"/>
      <c r="D929" s="184" t="str">
        <f t="shared" si="28"/>
        <v/>
      </c>
      <c r="E929" s="170" t="str">
        <f t="shared" si="29"/>
        <v/>
      </c>
      <c r="F929" s="170"/>
      <c r="G929" s="170"/>
      <c r="H929" s="170"/>
      <c r="I929" s="170"/>
      <c r="J929" s="170"/>
      <c r="K929" s="170"/>
      <c r="L929" s="170"/>
      <c r="M929" s="170"/>
      <c r="N929" s="170"/>
      <c r="O929" s="201"/>
    </row>
    <row r="930" spans="1:15" s="139" customFormat="1" ht="15.75">
      <c r="A930" s="205" t="str">
        <f>IF(ISNA(VLOOKUP(D930,'Standard Smelter Names'!$B$3:$E$153,4,FALSE)),"",VLOOKUP(D930,'Standard Smelter Names'!$B$3:$E$153,4,FALSE))</f>
        <v/>
      </c>
      <c r="B930" s="170"/>
      <c r="C930" s="184"/>
      <c r="D930" s="184" t="str">
        <f t="shared" si="28"/>
        <v/>
      </c>
      <c r="E930" s="170" t="str">
        <f t="shared" si="29"/>
        <v/>
      </c>
      <c r="F930" s="170"/>
      <c r="G930" s="170"/>
      <c r="H930" s="170"/>
      <c r="I930" s="170"/>
      <c r="J930" s="170"/>
      <c r="K930" s="170"/>
      <c r="L930" s="170"/>
      <c r="M930" s="170"/>
      <c r="N930" s="170"/>
      <c r="O930" s="201"/>
    </row>
    <row r="931" spans="1:15" s="139" customFormat="1" ht="15.75">
      <c r="A931" s="205" t="str">
        <f>IF(ISNA(VLOOKUP(D931,'Standard Smelter Names'!$B$3:$E$153,4,FALSE)),"",VLOOKUP(D931,'Standard Smelter Names'!$B$3:$E$153,4,FALSE))</f>
        <v/>
      </c>
      <c r="B931" s="170"/>
      <c r="C931" s="184"/>
      <c r="D931" s="184" t="str">
        <f t="shared" si="28"/>
        <v/>
      </c>
      <c r="E931" s="170" t="str">
        <f t="shared" si="29"/>
        <v/>
      </c>
      <c r="F931" s="170"/>
      <c r="G931" s="170"/>
      <c r="H931" s="170"/>
      <c r="I931" s="170"/>
      <c r="J931" s="170"/>
      <c r="K931" s="170"/>
      <c r="L931" s="170"/>
      <c r="M931" s="170"/>
      <c r="N931" s="170"/>
      <c r="O931" s="201"/>
    </row>
    <row r="932" spans="1:15" s="139" customFormat="1" ht="15.75">
      <c r="A932" s="205" t="str">
        <f>IF(ISNA(VLOOKUP(D932,'Standard Smelter Names'!$B$3:$E$153,4,FALSE)),"",VLOOKUP(D932,'Standard Smelter Names'!$B$3:$E$153,4,FALSE))</f>
        <v/>
      </c>
      <c r="B932" s="170"/>
      <c r="C932" s="184"/>
      <c r="D932" s="184" t="str">
        <f t="shared" si="28"/>
        <v/>
      </c>
      <c r="E932" s="170" t="str">
        <f t="shared" si="29"/>
        <v/>
      </c>
      <c r="F932" s="170"/>
      <c r="G932" s="170"/>
      <c r="H932" s="170"/>
      <c r="I932" s="170"/>
      <c r="J932" s="170"/>
      <c r="K932" s="170"/>
      <c r="L932" s="170"/>
      <c r="M932" s="170"/>
      <c r="N932" s="170"/>
      <c r="O932" s="201"/>
    </row>
    <row r="933" spans="1:15" s="139" customFormat="1" ht="15.75">
      <c r="A933" s="205" t="str">
        <f>IF(ISNA(VLOOKUP(D933,'Standard Smelter Names'!$B$3:$E$153,4,FALSE)),"",VLOOKUP(D933,'Standard Smelter Names'!$B$3:$E$153,4,FALSE))</f>
        <v/>
      </c>
      <c r="B933" s="170"/>
      <c r="C933" s="184"/>
      <c r="D933" s="184" t="str">
        <f t="shared" si="28"/>
        <v/>
      </c>
      <c r="E933" s="170" t="str">
        <f t="shared" si="29"/>
        <v/>
      </c>
      <c r="F933" s="170"/>
      <c r="G933" s="170"/>
      <c r="H933" s="170"/>
      <c r="I933" s="170"/>
      <c r="J933" s="170"/>
      <c r="K933" s="170"/>
      <c r="L933" s="170"/>
      <c r="M933" s="170"/>
      <c r="N933" s="170"/>
      <c r="O933" s="201"/>
    </row>
    <row r="934" spans="1:15" s="139" customFormat="1" ht="15.75">
      <c r="A934" s="205" t="str">
        <f>IF(ISNA(VLOOKUP(D934,'Standard Smelter Names'!$B$3:$E$153,4,FALSE)),"",VLOOKUP(D934,'Standard Smelter Names'!$B$3:$E$153,4,FALSE))</f>
        <v/>
      </c>
      <c r="B934" s="170"/>
      <c r="C934" s="184"/>
      <c r="D934" s="184" t="str">
        <f t="shared" si="28"/>
        <v/>
      </c>
      <c r="E934" s="170" t="str">
        <f t="shared" si="29"/>
        <v/>
      </c>
      <c r="F934" s="170"/>
      <c r="G934" s="170"/>
      <c r="H934" s="170"/>
      <c r="I934" s="170"/>
      <c r="J934" s="170"/>
      <c r="K934" s="170"/>
      <c r="L934" s="170"/>
      <c r="M934" s="170"/>
      <c r="N934" s="170"/>
      <c r="O934" s="201"/>
    </row>
    <row r="935" spans="1:15" s="139" customFormat="1" ht="15.75">
      <c r="A935" s="205" t="str">
        <f>IF(ISNA(VLOOKUP(D935,'Standard Smelter Names'!$B$3:$E$153,4,FALSE)),"",VLOOKUP(D935,'Standard Smelter Names'!$B$3:$E$153,4,FALSE))</f>
        <v/>
      </c>
      <c r="B935" s="170"/>
      <c r="C935" s="184"/>
      <c r="D935" s="184" t="str">
        <f t="shared" si="28"/>
        <v/>
      </c>
      <c r="E935" s="170" t="str">
        <f t="shared" si="29"/>
        <v/>
      </c>
      <c r="F935" s="170"/>
      <c r="G935" s="170"/>
      <c r="H935" s="170"/>
      <c r="I935" s="170"/>
      <c r="J935" s="170"/>
      <c r="K935" s="170"/>
      <c r="L935" s="170"/>
      <c r="M935" s="170"/>
      <c r="N935" s="170"/>
      <c r="O935" s="201"/>
    </row>
    <row r="936" spans="1:15" s="139" customFormat="1" ht="15.75">
      <c r="A936" s="205" t="str">
        <f>IF(ISNA(VLOOKUP(D936,'Standard Smelter Names'!$B$3:$E$153,4,FALSE)),"",VLOOKUP(D936,'Standard Smelter Names'!$B$3:$E$153,4,FALSE))</f>
        <v/>
      </c>
      <c r="B936" s="170"/>
      <c r="C936" s="184"/>
      <c r="D936" s="184" t="str">
        <f t="shared" si="28"/>
        <v/>
      </c>
      <c r="E936" s="170" t="str">
        <f t="shared" si="29"/>
        <v/>
      </c>
      <c r="F936" s="170"/>
      <c r="G936" s="170"/>
      <c r="H936" s="170"/>
      <c r="I936" s="170"/>
      <c r="J936" s="170"/>
      <c r="K936" s="170"/>
      <c r="L936" s="170"/>
      <c r="M936" s="170"/>
      <c r="N936" s="170"/>
      <c r="O936" s="201"/>
    </row>
    <row r="937" spans="1:15" s="139" customFormat="1" ht="15.75">
      <c r="A937" s="205" t="str">
        <f>IF(ISNA(VLOOKUP(D937,'Standard Smelter Names'!$B$3:$E$153,4,FALSE)),"",VLOOKUP(D937,'Standard Smelter Names'!$B$3:$E$153,4,FALSE))</f>
        <v/>
      </c>
      <c r="B937" s="170"/>
      <c r="C937" s="184"/>
      <c r="D937" s="184" t="str">
        <f t="shared" si="28"/>
        <v/>
      </c>
      <c r="E937" s="170" t="str">
        <f t="shared" si="29"/>
        <v/>
      </c>
      <c r="F937" s="170"/>
      <c r="G937" s="170"/>
      <c r="H937" s="170"/>
      <c r="I937" s="170"/>
      <c r="J937" s="170"/>
      <c r="K937" s="170"/>
      <c r="L937" s="170"/>
      <c r="M937" s="170"/>
      <c r="N937" s="170"/>
      <c r="O937" s="201"/>
    </row>
    <row r="938" spans="1:15" s="139" customFormat="1" ht="15.75">
      <c r="A938" s="205" t="str">
        <f>IF(ISNA(VLOOKUP(D938,'Standard Smelter Names'!$B$3:$E$153,4,FALSE)),"",VLOOKUP(D938,'Standard Smelter Names'!$B$3:$E$153,4,FALSE))</f>
        <v/>
      </c>
      <c r="B938" s="170"/>
      <c r="C938" s="184"/>
      <c r="D938" s="184" t="str">
        <f t="shared" si="28"/>
        <v/>
      </c>
      <c r="E938" s="170" t="str">
        <f t="shared" si="29"/>
        <v/>
      </c>
      <c r="F938" s="170"/>
      <c r="G938" s="170"/>
      <c r="H938" s="170"/>
      <c r="I938" s="170"/>
      <c r="J938" s="170"/>
      <c r="K938" s="170"/>
      <c r="L938" s="170"/>
      <c r="M938" s="170"/>
      <c r="N938" s="170"/>
      <c r="O938" s="201"/>
    </row>
    <row r="939" spans="1:15" s="139" customFormat="1" ht="15.75">
      <c r="A939" s="205" t="str">
        <f>IF(ISNA(VLOOKUP(D939,'Standard Smelter Names'!$B$3:$E$153,4,FALSE)),"",VLOOKUP(D939,'Standard Smelter Names'!$B$3:$E$153,4,FALSE))</f>
        <v/>
      </c>
      <c r="B939" s="170"/>
      <c r="C939" s="184"/>
      <c r="D939" s="184" t="str">
        <f t="shared" si="28"/>
        <v/>
      </c>
      <c r="E939" s="170" t="str">
        <f t="shared" si="29"/>
        <v/>
      </c>
      <c r="F939" s="170"/>
      <c r="G939" s="170"/>
      <c r="H939" s="170"/>
      <c r="I939" s="170"/>
      <c r="J939" s="170"/>
      <c r="K939" s="170"/>
      <c r="L939" s="170"/>
      <c r="M939" s="170"/>
      <c r="N939" s="170"/>
      <c r="O939" s="201"/>
    </row>
    <row r="940" spans="1:15" s="139" customFormat="1" ht="15.75">
      <c r="A940" s="205" t="str">
        <f>IF(ISNA(VLOOKUP(D940,'Standard Smelter Names'!$B$3:$E$153,4,FALSE)),"",VLOOKUP(D940,'Standard Smelter Names'!$B$3:$E$153,4,FALSE))</f>
        <v/>
      </c>
      <c r="B940" s="170"/>
      <c r="C940" s="184"/>
      <c r="D940" s="184" t="str">
        <f t="shared" si="28"/>
        <v/>
      </c>
      <c r="E940" s="170" t="str">
        <f t="shared" si="29"/>
        <v/>
      </c>
      <c r="F940" s="170"/>
      <c r="G940" s="170"/>
      <c r="H940" s="170"/>
      <c r="I940" s="170"/>
      <c r="J940" s="170"/>
      <c r="K940" s="170"/>
      <c r="L940" s="170"/>
      <c r="M940" s="170"/>
      <c r="N940" s="170"/>
      <c r="O940" s="201"/>
    </row>
    <row r="941" spans="1:15" s="139" customFormat="1" ht="15.75">
      <c r="A941" s="205" t="str">
        <f>IF(ISNA(VLOOKUP(D941,'Standard Smelter Names'!$B$3:$E$153,4,FALSE)),"",VLOOKUP(D941,'Standard Smelter Names'!$B$3:$E$153,4,FALSE))</f>
        <v/>
      </c>
      <c r="B941" s="170"/>
      <c r="C941" s="184"/>
      <c r="D941" s="184" t="str">
        <f t="shared" si="28"/>
        <v/>
      </c>
      <c r="E941" s="170" t="str">
        <f t="shared" si="29"/>
        <v/>
      </c>
      <c r="F941" s="170"/>
      <c r="G941" s="170"/>
      <c r="H941" s="170"/>
      <c r="I941" s="170"/>
      <c r="J941" s="170"/>
      <c r="K941" s="170"/>
      <c r="L941" s="170"/>
      <c r="M941" s="170"/>
      <c r="N941" s="170"/>
      <c r="O941" s="201"/>
    </row>
    <row r="942" spans="1:15" s="139" customFormat="1" ht="15.75">
      <c r="A942" s="205" t="str">
        <f>IF(ISNA(VLOOKUP(D942,'Standard Smelter Names'!$B$3:$E$153,4,FALSE)),"",VLOOKUP(D942,'Standard Smelter Names'!$B$3:$E$153,4,FALSE))</f>
        <v/>
      </c>
      <c r="B942" s="170"/>
      <c r="C942" s="184"/>
      <c r="D942" s="184" t="str">
        <f t="shared" si="28"/>
        <v/>
      </c>
      <c r="E942" s="170" t="str">
        <f t="shared" si="29"/>
        <v/>
      </c>
      <c r="F942" s="170"/>
      <c r="G942" s="170"/>
      <c r="H942" s="170"/>
      <c r="I942" s="170"/>
      <c r="J942" s="170"/>
      <c r="K942" s="170"/>
      <c r="L942" s="170"/>
      <c r="M942" s="170"/>
      <c r="N942" s="170"/>
      <c r="O942" s="201"/>
    </row>
    <row r="943" spans="1:15" s="139" customFormat="1" ht="15.75">
      <c r="A943" s="205" t="str">
        <f>IF(ISNA(VLOOKUP(D943,'Standard Smelter Names'!$B$3:$E$153,4,FALSE)),"",VLOOKUP(D943,'Standard Smelter Names'!$B$3:$E$153,4,FALSE))</f>
        <v/>
      </c>
      <c r="B943" s="170"/>
      <c r="C943" s="184"/>
      <c r="D943" s="184" t="str">
        <f t="shared" si="28"/>
        <v/>
      </c>
      <c r="E943" s="170" t="str">
        <f t="shared" si="29"/>
        <v/>
      </c>
      <c r="F943" s="170"/>
      <c r="G943" s="170"/>
      <c r="H943" s="170"/>
      <c r="I943" s="170"/>
      <c r="J943" s="170"/>
      <c r="K943" s="170"/>
      <c r="L943" s="170"/>
      <c r="M943" s="170"/>
      <c r="N943" s="170"/>
      <c r="O943" s="201"/>
    </row>
    <row r="944" spans="1:15" s="139" customFormat="1" ht="15.75">
      <c r="A944" s="205" t="str">
        <f>IF(ISNA(VLOOKUP(D944,'Standard Smelter Names'!$B$3:$E$153,4,FALSE)),"",VLOOKUP(D944,'Standard Smelter Names'!$B$3:$E$153,4,FALSE))</f>
        <v/>
      </c>
      <c r="B944" s="170"/>
      <c r="C944" s="184"/>
      <c r="D944" s="184" t="str">
        <f t="shared" si="28"/>
        <v/>
      </c>
      <c r="E944" s="170" t="str">
        <f t="shared" si="29"/>
        <v/>
      </c>
      <c r="F944" s="170"/>
      <c r="G944" s="170"/>
      <c r="H944" s="170"/>
      <c r="I944" s="170"/>
      <c r="J944" s="170"/>
      <c r="K944" s="170"/>
      <c r="L944" s="170"/>
      <c r="M944" s="170"/>
      <c r="N944" s="170"/>
      <c r="O944" s="201"/>
    </row>
    <row r="945" spans="1:15" s="139" customFormat="1" ht="15.75">
      <c r="A945" s="205" t="str">
        <f>IF(ISNA(VLOOKUP(D945,'Standard Smelter Names'!$B$3:$E$153,4,FALSE)),"",VLOOKUP(D945,'Standard Smelter Names'!$B$3:$E$153,4,FALSE))</f>
        <v/>
      </c>
      <c r="B945" s="170"/>
      <c r="C945" s="184"/>
      <c r="D945" s="184" t="str">
        <f t="shared" si="28"/>
        <v/>
      </c>
      <c r="E945" s="170" t="str">
        <f t="shared" si="29"/>
        <v/>
      </c>
      <c r="F945" s="170"/>
      <c r="G945" s="170"/>
      <c r="H945" s="170"/>
      <c r="I945" s="170"/>
      <c r="J945" s="170"/>
      <c r="K945" s="170"/>
      <c r="L945" s="170"/>
      <c r="M945" s="170"/>
      <c r="N945" s="170"/>
      <c r="O945" s="201"/>
    </row>
    <row r="946" spans="1:15" s="139" customFormat="1" ht="15.75">
      <c r="A946" s="205" t="str">
        <f>IF(ISNA(VLOOKUP(D946,'Standard Smelter Names'!$B$3:$E$153,4,FALSE)),"",VLOOKUP(D946,'Standard Smelter Names'!$B$3:$E$153,4,FALSE))</f>
        <v/>
      </c>
      <c r="B946" s="170"/>
      <c r="C946" s="184"/>
      <c r="D946" s="184" t="str">
        <f t="shared" si="28"/>
        <v/>
      </c>
      <c r="E946" s="170" t="str">
        <f t="shared" si="29"/>
        <v/>
      </c>
      <c r="F946" s="170"/>
      <c r="G946" s="170"/>
      <c r="H946" s="170"/>
      <c r="I946" s="170"/>
      <c r="J946" s="170"/>
      <c r="K946" s="170"/>
      <c r="L946" s="170"/>
      <c r="M946" s="170"/>
      <c r="N946" s="170"/>
      <c r="O946" s="201"/>
    </row>
    <row r="947" spans="1:15" s="139" customFormat="1" ht="15.75">
      <c r="A947" s="205" t="str">
        <f>IF(ISNA(VLOOKUP(D947,'Standard Smelter Names'!$B$3:$E$153,4,FALSE)),"",VLOOKUP(D947,'Standard Smelter Names'!$B$3:$E$153,4,FALSE))</f>
        <v/>
      </c>
      <c r="B947" s="170"/>
      <c r="C947" s="184"/>
      <c r="D947" s="184" t="str">
        <f t="shared" si="28"/>
        <v/>
      </c>
      <c r="E947" s="170" t="str">
        <f t="shared" si="29"/>
        <v/>
      </c>
      <c r="F947" s="170"/>
      <c r="G947" s="170"/>
      <c r="H947" s="170"/>
      <c r="I947" s="170"/>
      <c r="J947" s="170"/>
      <c r="K947" s="170"/>
      <c r="L947" s="170"/>
      <c r="M947" s="170"/>
      <c r="N947" s="170"/>
      <c r="O947" s="201"/>
    </row>
    <row r="948" spans="1:15" s="139" customFormat="1" ht="15.75">
      <c r="A948" s="205" t="str">
        <f>IF(ISNA(VLOOKUP(D948,'Standard Smelter Names'!$B$3:$E$153,4,FALSE)),"",VLOOKUP(D948,'Standard Smelter Names'!$B$3:$E$153,4,FALSE))</f>
        <v/>
      </c>
      <c r="B948" s="170"/>
      <c r="C948" s="184"/>
      <c r="D948" s="184" t="str">
        <f t="shared" si="28"/>
        <v/>
      </c>
      <c r="E948" s="170" t="str">
        <f t="shared" si="29"/>
        <v/>
      </c>
      <c r="F948" s="170"/>
      <c r="G948" s="170"/>
      <c r="H948" s="170"/>
      <c r="I948" s="170"/>
      <c r="J948" s="170"/>
      <c r="K948" s="170"/>
      <c r="L948" s="170"/>
      <c r="M948" s="170"/>
      <c r="N948" s="170"/>
      <c r="O948" s="201"/>
    </row>
    <row r="949" spans="1:15" s="139" customFormat="1" ht="15.75">
      <c r="A949" s="205" t="str">
        <f>IF(ISNA(VLOOKUP(D949,'Standard Smelter Names'!$B$3:$E$153,4,FALSE)),"",VLOOKUP(D949,'Standard Smelter Names'!$B$3:$E$153,4,FALSE))</f>
        <v/>
      </c>
      <c r="B949" s="170"/>
      <c r="C949" s="184"/>
      <c r="D949" s="184" t="str">
        <f t="shared" si="28"/>
        <v/>
      </c>
      <c r="E949" s="170" t="str">
        <f t="shared" si="29"/>
        <v/>
      </c>
      <c r="F949" s="170"/>
      <c r="G949" s="170"/>
      <c r="H949" s="170"/>
      <c r="I949" s="170"/>
      <c r="J949" s="170"/>
      <c r="K949" s="170"/>
      <c r="L949" s="170"/>
      <c r="M949" s="170"/>
      <c r="N949" s="170"/>
      <c r="O949" s="201"/>
    </row>
    <row r="950" spans="1:15" s="139" customFormat="1" ht="15.75">
      <c r="A950" s="205" t="str">
        <f>IF(ISNA(VLOOKUP(D950,'Standard Smelter Names'!$B$3:$E$153,4,FALSE)),"",VLOOKUP(D950,'Standard Smelter Names'!$B$3:$E$153,4,FALSE))</f>
        <v/>
      </c>
      <c r="B950" s="170"/>
      <c r="C950" s="184"/>
      <c r="D950" s="184" t="str">
        <f t="shared" si="28"/>
        <v/>
      </c>
      <c r="E950" s="170" t="str">
        <f t="shared" si="29"/>
        <v/>
      </c>
      <c r="F950" s="170"/>
      <c r="G950" s="170"/>
      <c r="H950" s="170"/>
      <c r="I950" s="170"/>
      <c r="J950" s="170"/>
      <c r="K950" s="170"/>
      <c r="L950" s="170"/>
      <c r="M950" s="170"/>
      <c r="N950" s="170"/>
      <c r="O950" s="201"/>
    </row>
    <row r="951" spans="1:15" s="139" customFormat="1" ht="15.75">
      <c r="A951" s="205" t="str">
        <f>IF(ISNA(VLOOKUP(D951,'Standard Smelter Names'!$B$3:$E$153,4,FALSE)),"",VLOOKUP(D951,'Standard Smelter Names'!$B$3:$E$153,4,FALSE))</f>
        <v/>
      </c>
      <c r="B951" s="170"/>
      <c r="C951" s="184"/>
      <c r="D951" s="184" t="str">
        <f t="shared" si="28"/>
        <v/>
      </c>
      <c r="E951" s="170" t="str">
        <f t="shared" si="29"/>
        <v/>
      </c>
      <c r="F951" s="170"/>
      <c r="G951" s="170"/>
      <c r="H951" s="170"/>
      <c r="I951" s="170"/>
      <c r="J951" s="170"/>
      <c r="K951" s="170"/>
      <c r="L951" s="170"/>
      <c r="M951" s="170"/>
      <c r="N951" s="170"/>
      <c r="O951" s="201"/>
    </row>
    <row r="952" spans="1:15" s="139" customFormat="1" ht="15.75">
      <c r="A952" s="205" t="str">
        <f>IF(ISNA(VLOOKUP(D952,'Standard Smelter Names'!$B$3:$E$153,4,FALSE)),"",VLOOKUP(D952,'Standard Smelter Names'!$B$3:$E$153,4,FALSE))</f>
        <v/>
      </c>
      <c r="B952" s="170"/>
      <c r="C952" s="184"/>
      <c r="D952" s="184" t="str">
        <f t="shared" si="28"/>
        <v/>
      </c>
      <c r="E952" s="170" t="str">
        <f t="shared" si="29"/>
        <v/>
      </c>
      <c r="F952" s="170"/>
      <c r="G952" s="170"/>
      <c r="H952" s="170"/>
      <c r="I952" s="170"/>
      <c r="J952" s="170"/>
      <c r="K952" s="170"/>
      <c r="L952" s="170"/>
      <c r="M952" s="170"/>
      <c r="N952" s="170"/>
      <c r="O952" s="201"/>
    </row>
    <row r="953" spans="1:15" s="139" customFormat="1" ht="15.75">
      <c r="A953" s="205" t="str">
        <f>IF(ISNA(VLOOKUP(D953,'Standard Smelter Names'!$B$3:$E$153,4,FALSE)),"",VLOOKUP(D953,'Standard Smelter Names'!$B$3:$E$153,4,FALSE))</f>
        <v/>
      </c>
      <c r="B953" s="170"/>
      <c r="C953" s="184"/>
      <c r="D953" s="184" t="str">
        <f t="shared" si="28"/>
        <v/>
      </c>
      <c r="E953" s="170" t="str">
        <f t="shared" si="29"/>
        <v/>
      </c>
      <c r="F953" s="170"/>
      <c r="G953" s="170"/>
      <c r="H953" s="170"/>
      <c r="I953" s="170"/>
      <c r="J953" s="170"/>
      <c r="K953" s="170"/>
      <c r="L953" s="170"/>
      <c r="M953" s="170"/>
      <c r="N953" s="170"/>
      <c r="O953" s="201"/>
    </row>
    <row r="954" spans="1:15" s="139" customFormat="1" ht="15.75">
      <c r="A954" s="205" t="str">
        <f>IF(ISNA(VLOOKUP(D954,'Standard Smelter Names'!$B$3:$E$153,4,FALSE)),"",VLOOKUP(D954,'Standard Smelter Names'!$B$3:$E$153,4,FALSE))</f>
        <v/>
      </c>
      <c r="B954" s="170"/>
      <c r="C954" s="184"/>
      <c r="D954" s="184" t="str">
        <f t="shared" si="28"/>
        <v/>
      </c>
      <c r="E954" s="170" t="str">
        <f t="shared" si="29"/>
        <v/>
      </c>
      <c r="F954" s="170"/>
      <c r="G954" s="170"/>
      <c r="H954" s="170"/>
      <c r="I954" s="170"/>
      <c r="J954" s="170"/>
      <c r="K954" s="170"/>
      <c r="L954" s="170"/>
      <c r="M954" s="170"/>
      <c r="N954" s="170"/>
      <c r="O954" s="201"/>
    </row>
    <row r="955" spans="1:15" s="139" customFormat="1" ht="15.75">
      <c r="A955" s="205" t="str">
        <f>IF(ISNA(VLOOKUP(D955,'Standard Smelter Names'!$B$3:$E$153,4,FALSE)),"",VLOOKUP(D955,'Standard Smelter Names'!$B$3:$E$153,4,FALSE))</f>
        <v/>
      </c>
      <c r="B955" s="170"/>
      <c r="C955" s="184"/>
      <c r="D955" s="184" t="str">
        <f t="shared" si="28"/>
        <v/>
      </c>
      <c r="E955" s="170" t="str">
        <f t="shared" si="29"/>
        <v/>
      </c>
      <c r="F955" s="170"/>
      <c r="G955" s="170"/>
      <c r="H955" s="170"/>
      <c r="I955" s="170"/>
      <c r="J955" s="170"/>
      <c r="K955" s="170"/>
      <c r="L955" s="170"/>
      <c r="M955" s="170"/>
      <c r="N955" s="170"/>
      <c r="O955" s="201"/>
    </row>
    <row r="956" spans="1:15" s="139" customFormat="1" ht="15.75">
      <c r="A956" s="205" t="str">
        <f>IF(ISNA(VLOOKUP(D956,'Standard Smelter Names'!$B$3:$E$153,4,FALSE)),"",VLOOKUP(D956,'Standard Smelter Names'!$B$3:$E$153,4,FALSE))</f>
        <v/>
      </c>
      <c r="B956" s="170"/>
      <c r="C956" s="184"/>
      <c r="D956" s="184" t="str">
        <f t="shared" si="28"/>
        <v/>
      </c>
      <c r="E956" s="170" t="str">
        <f t="shared" si="29"/>
        <v/>
      </c>
      <c r="F956" s="170"/>
      <c r="G956" s="170"/>
      <c r="H956" s="170"/>
      <c r="I956" s="170"/>
      <c r="J956" s="170"/>
      <c r="K956" s="170"/>
      <c r="L956" s="170"/>
      <c r="M956" s="170"/>
      <c r="N956" s="170"/>
      <c r="O956" s="201"/>
    </row>
    <row r="957" spans="1:15" s="139" customFormat="1" ht="15.75">
      <c r="A957" s="205" t="str">
        <f>IF(ISNA(VLOOKUP(D957,'Standard Smelter Names'!$B$3:$E$153,4,FALSE)),"",VLOOKUP(D957,'Standard Smelter Names'!$B$3:$E$153,4,FALSE))</f>
        <v/>
      </c>
      <c r="B957" s="170"/>
      <c r="C957" s="184"/>
      <c r="D957" s="184" t="str">
        <f t="shared" si="28"/>
        <v/>
      </c>
      <c r="E957" s="170" t="str">
        <f t="shared" si="29"/>
        <v/>
      </c>
      <c r="F957" s="170"/>
      <c r="G957" s="170"/>
      <c r="H957" s="170"/>
      <c r="I957" s="170"/>
      <c r="J957" s="170"/>
      <c r="K957" s="170"/>
      <c r="L957" s="170"/>
      <c r="M957" s="170"/>
      <c r="N957" s="170"/>
      <c r="O957" s="201"/>
    </row>
    <row r="958" spans="1:15" s="139" customFormat="1" ht="15.75">
      <c r="A958" s="205" t="str">
        <f>IF(ISNA(VLOOKUP(D958,'Standard Smelter Names'!$B$3:$E$153,4,FALSE)),"",VLOOKUP(D958,'Standard Smelter Names'!$B$3:$E$153,4,FALSE))</f>
        <v/>
      </c>
      <c r="B958" s="170"/>
      <c r="C958" s="184"/>
      <c r="D958" s="184" t="str">
        <f t="shared" si="28"/>
        <v/>
      </c>
      <c r="E958" s="170" t="str">
        <f t="shared" si="29"/>
        <v/>
      </c>
      <c r="F958" s="170"/>
      <c r="G958" s="170"/>
      <c r="H958" s="170"/>
      <c r="I958" s="170"/>
      <c r="J958" s="170"/>
      <c r="K958" s="170"/>
      <c r="L958" s="170"/>
      <c r="M958" s="170"/>
      <c r="N958" s="170"/>
      <c r="O958" s="201"/>
    </row>
    <row r="959" spans="1:15" s="139" customFormat="1" ht="15.75">
      <c r="A959" s="205" t="str">
        <f>IF(ISNA(VLOOKUP(D959,'Standard Smelter Names'!$B$3:$E$153,4,FALSE)),"",VLOOKUP(D959,'Standard Smelter Names'!$B$3:$E$153,4,FALSE))</f>
        <v/>
      </c>
      <c r="B959" s="170"/>
      <c r="C959" s="184"/>
      <c r="D959" s="184" t="str">
        <f t="shared" si="28"/>
        <v/>
      </c>
      <c r="E959" s="170" t="str">
        <f t="shared" si="29"/>
        <v/>
      </c>
      <c r="F959" s="170"/>
      <c r="G959" s="170"/>
      <c r="H959" s="170"/>
      <c r="I959" s="170"/>
      <c r="J959" s="170"/>
      <c r="K959" s="170"/>
      <c r="L959" s="170"/>
      <c r="M959" s="170"/>
      <c r="N959" s="170"/>
      <c r="O959" s="201"/>
    </row>
    <row r="960" spans="1:15" s="139" customFormat="1" ht="15.75">
      <c r="A960" s="205" t="str">
        <f>IF(ISNA(VLOOKUP(D960,'Standard Smelter Names'!$B$3:$E$153,4,FALSE)),"",VLOOKUP(D960,'Standard Smelter Names'!$B$3:$E$153,4,FALSE))</f>
        <v/>
      </c>
      <c r="B960" s="170"/>
      <c r="C960" s="184"/>
      <c r="D960" s="184" t="str">
        <f t="shared" si="28"/>
        <v/>
      </c>
      <c r="E960" s="170" t="str">
        <f t="shared" si="29"/>
        <v/>
      </c>
      <c r="F960" s="170"/>
      <c r="G960" s="170"/>
      <c r="H960" s="170"/>
      <c r="I960" s="170"/>
      <c r="J960" s="170"/>
      <c r="K960" s="170"/>
      <c r="L960" s="170"/>
      <c r="M960" s="170"/>
      <c r="N960" s="170"/>
      <c r="O960" s="201"/>
    </row>
    <row r="961" spans="1:15" s="139" customFormat="1" ht="15.75">
      <c r="A961" s="205" t="str">
        <f>IF(ISNA(VLOOKUP(D961,'Standard Smelter Names'!$B$3:$E$153,4,FALSE)),"",VLOOKUP(D961,'Standard Smelter Names'!$B$3:$E$153,4,FALSE))</f>
        <v/>
      </c>
      <c r="B961" s="170"/>
      <c r="C961" s="184"/>
      <c r="D961" s="184" t="str">
        <f t="shared" si="28"/>
        <v/>
      </c>
      <c r="E961" s="170" t="str">
        <f t="shared" si="29"/>
        <v/>
      </c>
      <c r="F961" s="170"/>
      <c r="G961" s="170"/>
      <c r="H961" s="170"/>
      <c r="I961" s="170"/>
      <c r="J961" s="170"/>
      <c r="K961" s="170"/>
      <c r="L961" s="170"/>
      <c r="M961" s="170"/>
      <c r="N961" s="170"/>
      <c r="O961" s="201"/>
    </row>
    <row r="962" spans="1:15" s="139" customFormat="1" ht="15.75">
      <c r="A962" s="205" t="str">
        <f>IF(ISNA(VLOOKUP(D962,'Standard Smelter Names'!$B$3:$E$153,4,FALSE)),"",VLOOKUP(D962,'Standard Smelter Names'!$B$3:$E$153,4,FALSE))</f>
        <v/>
      </c>
      <c r="B962" s="170"/>
      <c r="C962" s="184"/>
      <c r="D962" s="184" t="str">
        <f t="shared" si="28"/>
        <v/>
      </c>
      <c r="E962" s="170" t="str">
        <f t="shared" si="29"/>
        <v/>
      </c>
      <c r="F962" s="170"/>
      <c r="G962" s="170"/>
      <c r="H962" s="170"/>
      <c r="I962" s="170"/>
      <c r="J962" s="170"/>
      <c r="K962" s="170"/>
      <c r="L962" s="170"/>
      <c r="M962" s="170"/>
      <c r="N962" s="170"/>
      <c r="O962" s="201"/>
    </row>
    <row r="963" spans="1:15" s="139" customFormat="1" ht="15.75">
      <c r="A963" s="205" t="str">
        <f>IF(ISNA(VLOOKUP(D963,'Standard Smelter Names'!$B$3:$E$153,4,FALSE)),"",VLOOKUP(D963,'Standard Smelter Names'!$B$3:$E$153,4,FALSE))</f>
        <v/>
      </c>
      <c r="B963" s="170"/>
      <c r="C963" s="184"/>
      <c r="D963" s="184" t="str">
        <f t="shared" si="28"/>
        <v/>
      </c>
      <c r="E963" s="170" t="str">
        <f t="shared" si="29"/>
        <v/>
      </c>
      <c r="F963" s="170"/>
      <c r="G963" s="170"/>
      <c r="H963" s="170"/>
      <c r="I963" s="170"/>
      <c r="J963" s="170"/>
      <c r="K963" s="170"/>
      <c r="L963" s="170"/>
      <c r="M963" s="170"/>
      <c r="N963" s="170"/>
      <c r="O963" s="201"/>
    </row>
    <row r="964" spans="1:15" s="139" customFormat="1" ht="15.75">
      <c r="A964" s="205" t="str">
        <f>IF(ISNA(VLOOKUP(D964,'Standard Smelter Names'!$B$3:$E$153,4,FALSE)),"",VLOOKUP(D964,'Standard Smelter Names'!$B$3:$E$153,4,FALSE))</f>
        <v/>
      </c>
      <c r="B964" s="170"/>
      <c r="C964" s="184"/>
      <c r="D964" s="184" t="str">
        <f t="shared" si="28"/>
        <v/>
      </c>
      <c r="E964" s="170" t="str">
        <f t="shared" si="29"/>
        <v/>
      </c>
      <c r="F964" s="170"/>
      <c r="G964" s="170"/>
      <c r="H964" s="170"/>
      <c r="I964" s="170"/>
      <c r="J964" s="170"/>
      <c r="K964" s="170"/>
      <c r="L964" s="170"/>
      <c r="M964" s="170"/>
      <c r="N964" s="170"/>
      <c r="O964" s="201"/>
    </row>
    <row r="965" spans="1:15" s="139" customFormat="1" ht="15.75">
      <c r="A965" s="205" t="str">
        <f>IF(ISNA(VLOOKUP(D965,'Standard Smelter Names'!$B$3:$E$153,4,FALSE)),"",VLOOKUP(D965,'Standard Smelter Names'!$B$3:$E$153,4,FALSE))</f>
        <v/>
      </c>
      <c r="B965" s="170"/>
      <c r="C965" s="184"/>
      <c r="D965" s="184" t="str">
        <f t="shared" ref="D965:D1001" si="30">IF(ISNA(VLOOKUP(C965,$G$1023:$I$1309,3,FALSE)),"",VLOOKUP(C965,$G$1023:$I$1309,3,FALSE))</f>
        <v/>
      </c>
      <c r="E965" s="170" t="str">
        <f t="shared" ref="E965:E1001" si="31">IF(ISNA(VLOOKUP(C965,$G$1023:$I$1309,2,FALSE)),"",VLOOKUP(C965,$G$1023:$I$1309,2,FALSE))</f>
        <v/>
      </c>
      <c r="F965" s="170"/>
      <c r="G965" s="170"/>
      <c r="H965" s="170"/>
      <c r="I965" s="170"/>
      <c r="J965" s="170"/>
      <c r="K965" s="170"/>
      <c r="L965" s="170"/>
      <c r="M965" s="170"/>
      <c r="N965" s="170"/>
      <c r="O965" s="201"/>
    </row>
    <row r="966" spans="1:15" s="139" customFormat="1" ht="15.75">
      <c r="A966" s="205" t="str">
        <f>IF(ISNA(VLOOKUP(D966,'Standard Smelter Names'!$B$3:$E$153,4,FALSE)),"",VLOOKUP(D966,'Standard Smelter Names'!$B$3:$E$153,4,FALSE))</f>
        <v/>
      </c>
      <c r="B966" s="170"/>
      <c r="C966" s="184"/>
      <c r="D966" s="184" t="str">
        <f t="shared" si="30"/>
        <v/>
      </c>
      <c r="E966" s="170" t="str">
        <f t="shared" si="31"/>
        <v/>
      </c>
      <c r="F966" s="170"/>
      <c r="G966" s="170"/>
      <c r="H966" s="170"/>
      <c r="I966" s="170"/>
      <c r="J966" s="170"/>
      <c r="K966" s="170"/>
      <c r="L966" s="170"/>
      <c r="M966" s="170"/>
      <c r="N966" s="170"/>
      <c r="O966" s="201"/>
    </row>
    <row r="967" spans="1:15" s="139" customFormat="1" ht="15.75">
      <c r="A967" s="205" t="str">
        <f>IF(ISNA(VLOOKUP(D967,'Standard Smelter Names'!$B$3:$E$153,4,FALSE)),"",VLOOKUP(D967,'Standard Smelter Names'!$B$3:$E$153,4,FALSE))</f>
        <v/>
      </c>
      <c r="B967" s="170"/>
      <c r="C967" s="184"/>
      <c r="D967" s="184" t="str">
        <f t="shared" si="30"/>
        <v/>
      </c>
      <c r="E967" s="170" t="str">
        <f t="shared" si="31"/>
        <v/>
      </c>
      <c r="F967" s="170"/>
      <c r="G967" s="170"/>
      <c r="H967" s="170"/>
      <c r="I967" s="170"/>
      <c r="J967" s="170"/>
      <c r="K967" s="170"/>
      <c r="L967" s="170"/>
      <c r="M967" s="170"/>
      <c r="N967" s="170"/>
      <c r="O967" s="201"/>
    </row>
    <row r="968" spans="1:15" s="139" customFormat="1" ht="15.75">
      <c r="A968" s="205" t="str">
        <f>IF(ISNA(VLOOKUP(D968,'Standard Smelter Names'!$B$3:$E$153,4,FALSE)),"",VLOOKUP(D968,'Standard Smelter Names'!$B$3:$E$153,4,FALSE))</f>
        <v/>
      </c>
      <c r="B968" s="170"/>
      <c r="C968" s="184"/>
      <c r="D968" s="184" t="str">
        <f t="shared" si="30"/>
        <v/>
      </c>
      <c r="E968" s="170" t="str">
        <f t="shared" si="31"/>
        <v/>
      </c>
      <c r="F968" s="170"/>
      <c r="G968" s="170"/>
      <c r="H968" s="170"/>
      <c r="I968" s="170"/>
      <c r="J968" s="170"/>
      <c r="K968" s="170"/>
      <c r="L968" s="170"/>
      <c r="M968" s="170"/>
      <c r="N968" s="170"/>
      <c r="O968" s="201"/>
    </row>
    <row r="969" spans="1:15" s="139" customFormat="1" ht="15.75">
      <c r="A969" s="205" t="str">
        <f>IF(ISNA(VLOOKUP(D969,'Standard Smelter Names'!$B$3:$E$153,4,FALSE)),"",VLOOKUP(D969,'Standard Smelter Names'!$B$3:$E$153,4,FALSE))</f>
        <v/>
      </c>
      <c r="B969" s="170"/>
      <c r="C969" s="184"/>
      <c r="D969" s="184" t="str">
        <f t="shared" si="30"/>
        <v/>
      </c>
      <c r="E969" s="170" t="str">
        <f t="shared" si="31"/>
        <v/>
      </c>
      <c r="F969" s="170"/>
      <c r="G969" s="170"/>
      <c r="H969" s="170"/>
      <c r="I969" s="170"/>
      <c r="J969" s="170"/>
      <c r="K969" s="170"/>
      <c r="L969" s="170"/>
      <c r="M969" s="170"/>
      <c r="N969" s="170"/>
      <c r="O969" s="201"/>
    </row>
    <row r="970" spans="1:15" s="139" customFormat="1" ht="15.75">
      <c r="A970" s="205" t="str">
        <f>IF(ISNA(VLOOKUP(D970,'Standard Smelter Names'!$B$3:$E$153,4,FALSE)),"",VLOOKUP(D970,'Standard Smelter Names'!$B$3:$E$153,4,FALSE))</f>
        <v/>
      </c>
      <c r="B970" s="170"/>
      <c r="C970" s="184"/>
      <c r="D970" s="184" t="str">
        <f t="shared" si="30"/>
        <v/>
      </c>
      <c r="E970" s="170" t="str">
        <f t="shared" si="31"/>
        <v/>
      </c>
      <c r="F970" s="170"/>
      <c r="G970" s="170"/>
      <c r="H970" s="170"/>
      <c r="I970" s="170"/>
      <c r="J970" s="170"/>
      <c r="K970" s="170"/>
      <c r="L970" s="170"/>
      <c r="M970" s="170"/>
      <c r="N970" s="170"/>
      <c r="O970" s="201"/>
    </row>
    <row r="971" spans="1:15" s="139" customFormat="1" ht="15.75">
      <c r="A971" s="205" t="str">
        <f>IF(ISNA(VLOOKUP(D971,'Standard Smelter Names'!$B$3:$E$153,4,FALSE)),"",VLOOKUP(D971,'Standard Smelter Names'!$B$3:$E$153,4,FALSE))</f>
        <v/>
      </c>
      <c r="B971" s="170"/>
      <c r="C971" s="184"/>
      <c r="D971" s="184" t="str">
        <f t="shared" si="30"/>
        <v/>
      </c>
      <c r="E971" s="170" t="str">
        <f t="shared" si="31"/>
        <v/>
      </c>
      <c r="F971" s="170"/>
      <c r="G971" s="170"/>
      <c r="H971" s="170"/>
      <c r="I971" s="170"/>
      <c r="J971" s="170"/>
      <c r="K971" s="170"/>
      <c r="L971" s="170"/>
      <c r="M971" s="170"/>
      <c r="N971" s="170"/>
      <c r="O971" s="201"/>
    </row>
    <row r="972" spans="1:15" s="139" customFormat="1" ht="15.75">
      <c r="A972" s="205" t="str">
        <f>IF(ISNA(VLOOKUP(D972,'Standard Smelter Names'!$B$3:$E$153,4,FALSE)),"",VLOOKUP(D972,'Standard Smelter Names'!$B$3:$E$153,4,FALSE))</f>
        <v/>
      </c>
      <c r="B972" s="170"/>
      <c r="C972" s="184"/>
      <c r="D972" s="184" t="str">
        <f t="shared" si="30"/>
        <v/>
      </c>
      <c r="E972" s="170" t="str">
        <f t="shared" si="31"/>
        <v/>
      </c>
      <c r="F972" s="170"/>
      <c r="G972" s="170"/>
      <c r="H972" s="170"/>
      <c r="I972" s="170"/>
      <c r="J972" s="170"/>
      <c r="K972" s="170"/>
      <c r="L972" s="170"/>
      <c r="M972" s="170"/>
      <c r="N972" s="170"/>
      <c r="O972" s="201"/>
    </row>
    <row r="973" spans="1:15" s="139" customFormat="1" ht="15.75">
      <c r="A973" s="205" t="str">
        <f>IF(ISNA(VLOOKUP(D973,'Standard Smelter Names'!$B$3:$E$153,4,FALSE)),"",VLOOKUP(D973,'Standard Smelter Names'!$B$3:$E$153,4,FALSE))</f>
        <v/>
      </c>
      <c r="B973" s="170"/>
      <c r="C973" s="184"/>
      <c r="D973" s="184" t="str">
        <f t="shared" si="30"/>
        <v/>
      </c>
      <c r="E973" s="170" t="str">
        <f t="shared" si="31"/>
        <v/>
      </c>
      <c r="F973" s="170"/>
      <c r="G973" s="170"/>
      <c r="H973" s="170"/>
      <c r="I973" s="170"/>
      <c r="J973" s="170"/>
      <c r="K973" s="170"/>
      <c r="L973" s="170"/>
      <c r="M973" s="170"/>
      <c r="N973" s="170"/>
      <c r="O973" s="201"/>
    </row>
    <row r="974" spans="1:15" s="139" customFormat="1" ht="15.75">
      <c r="A974" s="205" t="str">
        <f>IF(ISNA(VLOOKUP(D974,'Standard Smelter Names'!$B$3:$E$153,4,FALSE)),"",VLOOKUP(D974,'Standard Smelter Names'!$B$3:$E$153,4,FALSE))</f>
        <v/>
      </c>
      <c r="B974" s="170"/>
      <c r="C974" s="184"/>
      <c r="D974" s="184" t="str">
        <f t="shared" si="30"/>
        <v/>
      </c>
      <c r="E974" s="170" t="str">
        <f t="shared" si="31"/>
        <v/>
      </c>
      <c r="F974" s="170"/>
      <c r="G974" s="170"/>
      <c r="H974" s="170"/>
      <c r="I974" s="170"/>
      <c r="J974" s="170"/>
      <c r="K974" s="170"/>
      <c r="L974" s="170"/>
      <c r="M974" s="170"/>
      <c r="N974" s="170"/>
      <c r="O974" s="201"/>
    </row>
    <row r="975" spans="1:15" s="139" customFormat="1" ht="15.75">
      <c r="A975" s="205" t="str">
        <f>IF(ISNA(VLOOKUP(D975,'Standard Smelter Names'!$B$3:$E$153,4,FALSE)),"",VLOOKUP(D975,'Standard Smelter Names'!$B$3:$E$153,4,FALSE))</f>
        <v/>
      </c>
      <c r="B975" s="170"/>
      <c r="C975" s="184"/>
      <c r="D975" s="184" t="str">
        <f t="shared" si="30"/>
        <v/>
      </c>
      <c r="E975" s="170" t="str">
        <f t="shared" si="31"/>
        <v/>
      </c>
      <c r="F975" s="170"/>
      <c r="G975" s="170"/>
      <c r="H975" s="170"/>
      <c r="I975" s="170"/>
      <c r="J975" s="170"/>
      <c r="K975" s="170"/>
      <c r="L975" s="170"/>
      <c r="M975" s="170"/>
      <c r="N975" s="170"/>
      <c r="O975" s="201"/>
    </row>
    <row r="976" spans="1:15" s="139" customFormat="1" ht="15.75">
      <c r="A976" s="205" t="str">
        <f>IF(ISNA(VLOOKUP(D976,'Standard Smelter Names'!$B$3:$E$153,4,FALSE)),"",VLOOKUP(D976,'Standard Smelter Names'!$B$3:$E$153,4,FALSE))</f>
        <v/>
      </c>
      <c r="B976" s="170"/>
      <c r="C976" s="184"/>
      <c r="D976" s="184" t="str">
        <f t="shared" si="30"/>
        <v/>
      </c>
      <c r="E976" s="170" t="str">
        <f t="shared" si="31"/>
        <v/>
      </c>
      <c r="F976" s="170"/>
      <c r="G976" s="170"/>
      <c r="H976" s="170"/>
      <c r="I976" s="170"/>
      <c r="J976" s="170"/>
      <c r="K976" s="170"/>
      <c r="L976" s="170"/>
      <c r="M976" s="170"/>
      <c r="N976" s="170"/>
      <c r="O976" s="201"/>
    </row>
    <row r="977" spans="1:15" s="139" customFormat="1" ht="15.75">
      <c r="A977" s="205" t="str">
        <f>IF(ISNA(VLOOKUP(D977,'Standard Smelter Names'!$B$3:$E$153,4,FALSE)),"",VLOOKUP(D977,'Standard Smelter Names'!$B$3:$E$153,4,FALSE))</f>
        <v/>
      </c>
      <c r="B977" s="170"/>
      <c r="C977" s="184"/>
      <c r="D977" s="184" t="str">
        <f t="shared" si="30"/>
        <v/>
      </c>
      <c r="E977" s="170" t="str">
        <f t="shared" si="31"/>
        <v/>
      </c>
      <c r="F977" s="170"/>
      <c r="G977" s="170"/>
      <c r="H977" s="170"/>
      <c r="I977" s="170"/>
      <c r="J977" s="170"/>
      <c r="K977" s="170"/>
      <c r="L977" s="170"/>
      <c r="M977" s="170"/>
      <c r="N977" s="170"/>
      <c r="O977" s="201"/>
    </row>
    <row r="978" spans="1:15" s="139" customFormat="1" ht="15.75">
      <c r="A978" s="205" t="str">
        <f>IF(ISNA(VLOOKUP(D978,'Standard Smelter Names'!$B$3:$E$153,4,FALSE)),"",VLOOKUP(D978,'Standard Smelter Names'!$B$3:$E$153,4,FALSE))</f>
        <v/>
      </c>
      <c r="B978" s="170"/>
      <c r="C978" s="184"/>
      <c r="D978" s="184" t="str">
        <f t="shared" si="30"/>
        <v/>
      </c>
      <c r="E978" s="170" t="str">
        <f t="shared" si="31"/>
        <v/>
      </c>
      <c r="F978" s="170"/>
      <c r="G978" s="170"/>
      <c r="H978" s="170"/>
      <c r="I978" s="170"/>
      <c r="J978" s="170"/>
      <c r="K978" s="170"/>
      <c r="L978" s="170"/>
      <c r="M978" s="170"/>
      <c r="N978" s="170"/>
      <c r="O978" s="201"/>
    </row>
    <row r="979" spans="1:15" s="139" customFormat="1" ht="15.75">
      <c r="A979" s="205" t="str">
        <f>IF(ISNA(VLOOKUP(D979,'Standard Smelter Names'!$B$3:$E$153,4,FALSE)),"",VLOOKUP(D979,'Standard Smelter Names'!$B$3:$E$153,4,FALSE))</f>
        <v/>
      </c>
      <c r="B979" s="170"/>
      <c r="C979" s="184"/>
      <c r="D979" s="184" t="str">
        <f t="shared" si="30"/>
        <v/>
      </c>
      <c r="E979" s="170" t="str">
        <f t="shared" si="31"/>
        <v/>
      </c>
      <c r="F979" s="170"/>
      <c r="G979" s="170"/>
      <c r="H979" s="170"/>
      <c r="I979" s="170"/>
      <c r="J979" s="170"/>
      <c r="K979" s="170"/>
      <c r="L979" s="170"/>
      <c r="M979" s="170"/>
      <c r="N979" s="170"/>
      <c r="O979" s="201"/>
    </row>
    <row r="980" spans="1:15" s="139" customFormat="1" ht="15.75">
      <c r="A980" s="205" t="str">
        <f>IF(ISNA(VLOOKUP(D980,'Standard Smelter Names'!$B$3:$E$153,4,FALSE)),"",VLOOKUP(D980,'Standard Smelter Names'!$B$3:$E$153,4,FALSE))</f>
        <v/>
      </c>
      <c r="B980" s="170"/>
      <c r="C980" s="184"/>
      <c r="D980" s="184" t="str">
        <f t="shared" si="30"/>
        <v/>
      </c>
      <c r="E980" s="170" t="str">
        <f t="shared" si="31"/>
        <v/>
      </c>
      <c r="F980" s="171"/>
      <c r="G980" s="171"/>
      <c r="H980" s="170"/>
      <c r="I980" s="171"/>
      <c r="J980" s="171"/>
      <c r="K980" s="171"/>
      <c r="L980" s="171"/>
      <c r="M980" s="171"/>
      <c r="N980" s="171"/>
      <c r="O980" s="201"/>
    </row>
    <row r="981" spans="1:15" s="139" customFormat="1" ht="15.75">
      <c r="A981" s="205" t="str">
        <f>IF(ISNA(VLOOKUP(D981,'Standard Smelter Names'!$B$3:$E$153,4,FALSE)),"",VLOOKUP(D981,'Standard Smelter Names'!$B$3:$E$153,4,FALSE))</f>
        <v/>
      </c>
      <c r="B981" s="170"/>
      <c r="C981" s="184"/>
      <c r="D981" s="184" t="str">
        <f t="shared" si="30"/>
        <v/>
      </c>
      <c r="E981" s="170" t="str">
        <f t="shared" si="31"/>
        <v/>
      </c>
      <c r="F981" s="172"/>
      <c r="G981" s="172"/>
      <c r="H981" s="170"/>
      <c r="I981" s="172"/>
      <c r="J981" s="172"/>
      <c r="K981" s="172"/>
      <c r="L981" s="172"/>
      <c r="M981" s="172"/>
      <c r="N981" s="172"/>
      <c r="O981" s="201"/>
    </row>
    <row r="982" spans="1:15" s="139" customFormat="1" ht="15.75">
      <c r="A982" s="205" t="str">
        <f>IF(ISNA(VLOOKUP(D982,'Standard Smelter Names'!$B$3:$E$153,4,FALSE)),"",VLOOKUP(D982,'Standard Smelter Names'!$B$3:$E$153,4,FALSE))</f>
        <v/>
      </c>
      <c r="B982" s="170"/>
      <c r="C982" s="184"/>
      <c r="D982" s="184" t="str">
        <f t="shared" si="30"/>
        <v/>
      </c>
      <c r="E982" s="170" t="str">
        <f t="shared" si="31"/>
        <v/>
      </c>
      <c r="F982" s="172"/>
      <c r="G982" s="172"/>
      <c r="H982" s="170"/>
      <c r="I982" s="172"/>
      <c r="J982" s="172"/>
      <c r="K982" s="172"/>
      <c r="L982" s="172"/>
      <c r="M982" s="172"/>
      <c r="N982" s="172"/>
      <c r="O982" s="201"/>
    </row>
    <row r="983" spans="1:15" s="139" customFormat="1" ht="15.75">
      <c r="A983" s="205" t="str">
        <f>IF(ISNA(VLOOKUP(D983,'Standard Smelter Names'!$B$3:$E$153,4,FALSE)),"",VLOOKUP(D983,'Standard Smelter Names'!$B$3:$E$153,4,FALSE))</f>
        <v/>
      </c>
      <c r="B983" s="170"/>
      <c r="C983" s="184"/>
      <c r="D983" s="184" t="str">
        <f t="shared" si="30"/>
        <v/>
      </c>
      <c r="E983" s="170" t="str">
        <f t="shared" si="31"/>
        <v/>
      </c>
      <c r="F983" s="172"/>
      <c r="G983" s="172"/>
      <c r="H983" s="170"/>
      <c r="I983" s="172"/>
      <c r="J983" s="172"/>
      <c r="K983" s="172"/>
      <c r="L983" s="172"/>
      <c r="M983" s="172"/>
      <c r="N983" s="172"/>
      <c r="O983" s="201"/>
    </row>
    <row r="984" spans="1:15" s="139" customFormat="1" ht="15.75">
      <c r="A984" s="205" t="str">
        <f>IF(ISNA(VLOOKUP(D984,'Standard Smelter Names'!$B$3:$E$153,4,FALSE)),"",VLOOKUP(D984,'Standard Smelter Names'!$B$3:$E$153,4,FALSE))</f>
        <v/>
      </c>
      <c r="B984" s="170"/>
      <c r="C984" s="184"/>
      <c r="D984" s="184" t="str">
        <f t="shared" si="30"/>
        <v/>
      </c>
      <c r="E984" s="170" t="str">
        <f t="shared" si="31"/>
        <v/>
      </c>
      <c r="F984" s="172"/>
      <c r="G984" s="172"/>
      <c r="H984" s="170"/>
      <c r="I984" s="172"/>
      <c r="J984" s="172"/>
      <c r="K984" s="172"/>
      <c r="L984" s="172"/>
      <c r="M984" s="172"/>
      <c r="N984" s="172"/>
      <c r="O984" s="201"/>
    </row>
    <row r="985" spans="1:15" s="139" customFormat="1" ht="15.75">
      <c r="A985" s="205" t="str">
        <f>IF(ISNA(VLOOKUP(D985,'Standard Smelter Names'!$B$3:$E$153,4,FALSE)),"",VLOOKUP(D985,'Standard Smelter Names'!$B$3:$E$153,4,FALSE))</f>
        <v/>
      </c>
      <c r="B985" s="170"/>
      <c r="C985" s="184"/>
      <c r="D985" s="184" t="str">
        <f t="shared" si="30"/>
        <v/>
      </c>
      <c r="E985" s="170" t="str">
        <f t="shared" si="31"/>
        <v/>
      </c>
      <c r="F985" s="172"/>
      <c r="G985" s="172"/>
      <c r="H985" s="170"/>
      <c r="I985" s="172"/>
      <c r="J985" s="172"/>
      <c r="K985" s="172"/>
      <c r="L985" s="172"/>
      <c r="M985" s="172"/>
      <c r="N985" s="172"/>
      <c r="O985" s="201"/>
    </row>
    <row r="986" spans="1:15" s="139" customFormat="1" ht="15.75">
      <c r="A986" s="205" t="str">
        <f>IF(ISNA(VLOOKUP(D986,'Standard Smelter Names'!$B$3:$E$153,4,FALSE)),"",VLOOKUP(D986,'Standard Smelter Names'!$B$3:$E$153,4,FALSE))</f>
        <v/>
      </c>
      <c r="B986" s="170"/>
      <c r="C986" s="184"/>
      <c r="D986" s="184" t="str">
        <f t="shared" si="30"/>
        <v/>
      </c>
      <c r="E986" s="170" t="str">
        <f t="shared" si="31"/>
        <v/>
      </c>
      <c r="F986" s="172"/>
      <c r="G986" s="172"/>
      <c r="H986" s="170"/>
      <c r="I986" s="172"/>
      <c r="J986" s="172"/>
      <c r="K986" s="172"/>
      <c r="L986" s="172"/>
      <c r="M986" s="172"/>
      <c r="N986" s="172"/>
      <c r="O986" s="201"/>
    </row>
    <row r="987" spans="1:15" s="139" customFormat="1" ht="15.75">
      <c r="A987" s="205" t="str">
        <f>IF(ISNA(VLOOKUP(D987,'Standard Smelter Names'!$B$3:$E$153,4,FALSE)),"",VLOOKUP(D987,'Standard Smelter Names'!$B$3:$E$153,4,FALSE))</f>
        <v/>
      </c>
      <c r="B987" s="170"/>
      <c r="C987" s="184"/>
      <c r="D987" s="184" t="str">
        <f t="shared" si="30"/>
        <v/>
      </c>
      <c r="E987" s="170" t="str">
        <f t="shared" si="31"/>
        <v/>
      </c>
      <c r="F987" s="172"/>
      <c r="G987" s="172"/>
      <c r="H987" s="170"/>
      <c r="I987" s="172"/>
      <c r="J987" s="172"/>
      <c r="K987" s="172"/>
      <c r="L987" s="172"/>
      <c r="M987" s="172"/>
      <c r="N987" s="172"/>
      <c r="O987" s="201"/>
    </row>
    <row r="988" spans="1:15" s="139" customFormat="1" ht="15.75">
      <c r="A988" s="205" t="str">
        <f>IF(ISNA(VLOOKUP(D988,'Standard Smelter Names'!$B$3:$E$153,4,FALSE)),"",VLOOKUP(D988,'Standard Smelter Names'!$B$3:$E$153,4,FALSE))</f>
        <v/>
      </c>
      <c r="B988" s="170"/>
      <c r="C988" s="184"/>
      <c r="D988" s="184" t="str">
        <f t="shared" si="30"/>
        <v/>
      </c>
      <c r="E988" s="170" t="str">
        <f t="shared" si="31"/>
        <v/>
      </c>
      <c r="F988" s="172"/>
      <c r="G988" s="172"/>
      <c r="H988" s="170"/>
      <c r="I988" s="172"/>
      <c r="J988" s="172"/>
      <c r="K988" s="172"/>
      <c r="L988" s="172"/>
      <c r="M988" s="172"/>
      <c r="N988" s="172"/>
      <c r="O988" s="201"/>
    </row>
    <row r="989" spans="1:15" s="139" customFormat="1" ht="15.75">
      <c r="A989" s="205" t="str">
        <f>IF(ISNA(VLOOKUP(D989,'Standard Smelter Names'!$B$3:$E$153,4,FALSE)),"",VLOOKUP(D989,'Standard Smelter Names'!$B$3:$E$153,4,FALSE))</f>
        <v/>
      </c>
      <c r="B989" s="170"/>
      <c r="C989" s="184"/>
      <c r="D989" s="184" t="str">
        <f t="shared" si="30"/>
        <v/>
      </c>
      <c r="E989" s="170" t="str">
        <f t="shared" si="31"/>
        <v/>
      </c>
      <c r="F989" s="172"/>
      <c r="G989" s="172"/>
      <c r="H989" s="170"/>
      <c r="I989" s="172"/>
      <c r="J989" s="172"/>
      <c r="K989" s="172"/>
      <c r="L989" s="172"/>
      <c r="M989" s="172"/>
      <c r="N989" s="172"/>
      <c r="O989" s="201"/>
    </row>
    <row r="990" spans="1:15" s="139" customFormat="1" ht="15.75">
      <c r="A990" s="205" t="str">
        <f>IF(ISNA(VLOOKUP(D990,'Standard Smelter Names'!$B$3:$E$153,4,FALSE)),"",VLOOKUP(D990,'Standard Smelter Names'!$B$3:$E$153,4,FALSE))</f>
        <v/>
      </c>
      <c r="B990" s="170"/>
      <c r="C990" s="184"/>
      <c r="D990" s="184" t="str">
        <f t="shared" si="30"/>
        <v/>
      </c>
      <c r="E990" s="170" t="str">
        <f t="shared" si="31"/>
        <v/>
      </c>
      <c r="F990" s="172"/>
      <c r="G990" s="172"/>
      <c r="H990" s="170"/>
      <c r="I990" s="172"/>
      <c r="J990" s="172"/>
      <c r="K990" s="172"/>
      <c r="L990" s="172"/>
      <c r="M990" s="172"/>
      <c r="N990" s="172"/>
      <c r="O990" s="201"/>
    </row>
    <row r="991" spans="1:15" s="139" customFormat="1" ht="15.75">
      <c r="A991" s="205" t="str">
        <f>IF(ISNA(VLOOKUP(D991,'Standard Smelter Names'!$B$3:$E$153,4,FALSE)),"",VLOOKUP(D991,'Standard Smelter Names'!$B$3:$E$153,4,FALSE))</f>
        <v/>
      </c>
      <c r="B991" s="170"/>
      <c r="C991" s="184"/>
      <c r="D991" s="184" t="str">
        <f t="shared" si="30"/>
        <v/>
      </c>
      <c r="E991" s="170" t="str">
        <f t="shared" si="31"/>
        <v/>
      </c>
      <c r="F991" s="172"/>
      <c r="G991" s="172"/>
      <c r="H991" s="170"/>
      <c r="I991" s="172"/>
      <c r="J991" s="172"/>
      <c r="K991" s="172"/>
      <c r="L991" s="172"/>
      <c r="M991" s="172"/>
      <c r="N991" s="172"/>
      <c r="O991" s="201"/>
    </row>
    <row r="992" spans="1:15" s="139" customFormat="1" ht="15.75">
      <c r="A992" s="205" t="str">
        <f>IF(ISNA(VLOOKUP(D992,'Standard Smelter Names'!$B$3:$E$153,4,FALSE)),"",VLOOKUP(D992,'Standard Smelter Names'!$B$3:$E$153,4,FALSE))</f>
        <v/>
      </c>
      <c r="B992" s="170"/>
      <c r="C992" s="184"/>
      <c r="D992" s="184" t="str">
        <f t="shared" si="30"/>
        <v/>
      </c>
      <c r="E992" s="170" t="str">
        <f t="shared" si="31"/>
        <v/>
      </c>
      <c r="F992" s="172"/>
      <c r="G992" s="172"/>
      <c r="H992" s="170"/>
      <c r="I992" s="172"/>
      <c r="J992" s="172"/>
      <c r="K992" s="172"/>
      <c r="L992" s="172"/>
      <c r="M992" s="172"/>
      <c r="N992" s="172"/>
      <c r="O992" s="201"/>
    </row>
    <row r="993" spans="1:15" s="139" customFormat="1" ht="15.75">
      <c r="A993" s="205" t="str">
        <f>IF(ISNA(VLOOKUP(D993,'Standard Smelter Names'!$B$3:$E$153,4,FALSE)),"",VLOOKUP(D993,'Standard Smelter Names'!$B$3:$E$153,4,FALSE))</f>
        <v/>
      </c>
      <c r="B993" s="170"/>
      <c r="C993" s="184"/>
      <c r="D993" s="184" t="str">
        <f t="shared" si="30"/>
        <v/>
      </c>
      <c r="E993" s="170" t="str">
        <f t="shared" si="31"/>
        <v/>
      </c>
      <c r="F993" s="172"/>
      <c r="G993" s="172"/>
      <c r="H993" s="170"/>
      <c r="I993" s="172"/>
      <c r="J993" s="172"/>
      <c r="K993" s="172"/>
      <c r="L993" s="172"/>
      <c r="M993" s="172"/>
      <c r="N993" s="172"/>
      <c r="O993" s="201"/>
    </row>
    <row r="994" spans="1:15" s="139" customFormat="1" ht="15.75">
      <c r="A994" s="205" t="str">
        <f>IF(ISNA(VLOOKUP(D994,'Standard Smelter Names'!$B$3:$E$153,4,FALSE)),"",VLOOKUP(D994,'Standard Smelter Names'!$B$3:$E$153,4,FALSE))</f>
        <v/>
      </c>
      <c r="B994" s="170"/>
      <c r="C994" s="184"/>
      <c r="D994" s="184" t="str">
        <f t="shared" si="30"/>
        <v/>
      </c>
      <c r="E994" s="170" t="str">
        <f t="shared" si="31"/>
        <v/>
      </c>
      <c r="F994" s="172"/>
      <c r="G994" s="172"/>
      <c r="H994" s="170"/>
      <c r="I994" s="172"/>
      <c r="J994" s="172"/>
      <c r="K994" s="172"/>
      <c r="L994" s="172"/>
      <c r="M994" s="172"/>
      <c r="N994" s="172"/>
      <c r="O994" s="201"/>
    </row>
    <row r="995" spans="1:15" s="139" customFormat="1" ht="15.75">
      <c r="A995" s="205" t="str">
        <f>IF(ISNA(VLOOKUP(D995,'Standard Smelter Names'!$B$3:$E$153,4,FALSE)),"",VLOOKUP(D995,'Standard Smelter Names'!$B$3:$E$153,4,FALSE))</f>
        <v/>
      </c>
      <c r="B995" s="170"/>
      <c r="C995" s="184"/>
      <c r="D995" s="184" t="str">
        <f t="shared" si="30"/>
        <v/>
      </c>
      <c r="E995" s="170" t="str">
        <f t="shared" si="31"/>
        <v/>
      </c>
      <c r="F995" s="172"/>
      <c r="G995" s="172"/>
      <c r="H995" s="170"/>
      <c r="I995" s="172"/>
      <c r="J995" s="172"/>
      <c r="K995" s="172"/>
      <c r="L995" s="172"/>
      <c r="M995" s="172"/>
      <c r="N995" s="172"/>
      <c r="O995" s="201"/>
    </row>
    <row r="996" spans="1:15" s="139" customFormat="1" ht="15.75">
      <c r="A996" s="205" t="str">
        <f>IF(ISNA(VLOOKUP(D996,'Standard Smelter Names'!$B$3:$E$153,4,FALSE)),"",VLOOKUP(D996,'Standard Smelter Names'!$B$3:$E$153,4,FALSE))</f>
        <v/>
      </c>
      <c r="B996" s="170"/>
      <c r="C996" s="184"/>
      <c r="D996" s="184" t="str">
        <f t="shared" si="30"/>
        <v/>
      </c>
      <c r="E996" s="170" t="str">
        <f t="shared" si="31"/>
        <v/>
      </c>
      <c r="F996" s="172"/>
      <c r="G996" s="172"/>
      <c r="H996" s="170"/>
      <c r="I996" s="172"/>
      <c r="J996" s="172"/>
      <c r="K996" s="172"/>
      <c r="L996" s="172"/>
      <c r="M996" s="172"/>
      <c r="N996" s="172"/>
      <c r="O996" s="201"/>
    </row>
    <row r="997" spans="1:15" s="139" customFormat="1" ht="15.75">
      <c r="A997" s="205" t="str">
        <f>IF(ISNA(VLOOKUP(D997,'Standard Smelter Names'!$B$3:$E$153,4,FALSE)),"",VLOOKUP(D997,'Standard Smelter Names'!$B$3:$E$153,4,FALSE))</f>
        <v/>
      </c>
      <c r="B997" s="170"/>
      <c r="C997" s="184"/>
      <c r="D997" s="184" t="str">
        <f t="shared" si="30"/>
        <v/>
      </c>
      <c r="E997" s="170" t="str">
        <f t="shared" si="31"/>
        <v/>
      </c>
      <c r="F997" s="172"/>
      <c r="G997" s="172"/>
      <c r="H997" s="170"/>
      <c r="I997" s="172"/>
      <c r="J997" s="172"/>
      <c r="K997" s="172"/>
      <c r="L997" s="172"/>
      <c r="M997" s="172"/>
      <c r="N997" s="172"/>
      <c r="O997" s="201"/>
    </row>
    <row r="998" spans="1:15" s="139" customFormat="1" ht="15.75">
      <c r="A998" s="205" t="str">
        <f>IF(ISNA(VLOOKUP(D998,'Standard Smelter Names'!$B$3:$E$153,4,FALSE)),"",VLOOKUP(D998,'Standard Smelter Names'!$B$3:$E$153,4,FALSE))</f>
        <v/>
      </c>
      <c r="B998" s="170"/>
      <c r="C998" s="184"/>
      <c r="D998" s="184" t="str">
        <f t="shared" si="30"/>
        <v/>
      </c>
      <c r="E998" s="170" t="str">
        <f t="shared" si="31"/>
        <v/>
      </c>
      <c r="F998" s="172"/>
      <c r="G998" s="172"/>
      <c r="H998" s="170"/>
      <c r="I998" s="172"/>
      <c r="J998" s="172"/>
      <c r="K998" s="172"/>
      <c r="L998" s="172"/>
      <c r="M998" s="172"/>
      <c r="N998" s="172"/>
      <c r="O998" s="201"/>
    </row>
    <row r="999" spans="1:15" s="139" customFormat="1" ht="15.75">
      <c r="A999" s="205" t="str">
        <f>IF(ISNA(VLOOKUP(D999,'Standard Smelter Names'!$B$3:$E$153,4,FALSE)),"",VLOOKUP(D999,'Standard Smelter Names'!$B$3:$E$153,4,FALSE))</f>
        <v/>
      </c>
      <c r="B999" s="170"/>
      <c r="C999" s="184"/>
      <c r="D999" s="184" t="str">
        <f t="shared" si="30"/>
        <v/>
      </c>
      <c r="E999" s="170" t="str">
        <f t="shared" si="31"/>
        <v/>
      </c>
      <c r="F999" s="172"/>
      <c r="G999" s="172"/>
      <c r="H999" s="170"/>
      <c r="I999" s="172"/>
      <c r="J999" s="172"/>
      <c r="K999" s="172"/>
      <c r="L999" s="172"/>
      <c r="M999" s="172"/>
      <c r="N999" s="172"/>
      <c r="O999" s="201"/>
    </row>
    <row r="1000" spans="1:15" s="139" customFormat="1" ht="15.75">
      <c r="A1000" s="205" t="str">
        <f>IF(ISNA(VLOOKUP(D1000,'Standard Smelter Names'!$B$3:$E$153,4,FALSE)),"",VLOOKUP(D1000,'Standard Smelter Names'!$B$3:$E$153,4,FALSE))</f>
        <v/>
      </c>
      <c r="B1000" s="170"/>
      <c r="C1000" s="184"/>
      <c r="D1000" s="184" t="str">
        <f t="shared" si="30"/>
        <v/>
      </c>
      <c r="E1000" s="170" t="str">
        <f t="shared" si="31"/>
        <v/>
      </c>
      <c r="F1000" s="172"/>
      <c r="G1000" s="172"/>
      <c r="H1000" s="170"/>
      <c r="I1000" s="172"/>
      <c r="J1000" s="172"/>
      <c r="K1000" s="172"/>
      <c r="L1000" s="172"/>
      <c r="M1000" s="172"/>
      <c r="N1000" s="172"/>
      <c r="O1000" s="201"/>
    </row>
    <row r="1001" spans="1:15" s="139" customFormat="1" ht="15.75">
      <c r="A1001" s="205" t="str">
        <f>IF(ISNA(VLOOKUP(D1001,'Standard Smelter Names'!$B$3:$E$153,4,FALSE)),"",VLOOKUP(D1001,'Standard Smelter Names'!$B$3:$E$153,4,FALSE))</f>
        <v/>
      </c>
      <c r="B1001" s="170"/>
      <c r="C1001" s="184"/>
      <c r="D1001" s="184" t="str">
        <f t="shared" si="30"/>
        <v/>
      </c>
      <c r="E1001" s="170" t="str">
        <f t="shared" si="31"/>
        <v/>
      </c>
      <c r="F1001" s="172"/>
      <c r="G1001" s="172"/>
      <c r="H1001" s="170"/>
      <c r="I1001" s="172"/>
      <c r="J1001" s="172"/>
      <c r="K1001" s="172"/>
      <c r="L1001" s="172"/>
      <c r="M1001" s="172"/>
      <c r="N1001" s="172"/>
      <c r="O1001" s="201"/>
    </row>
    <row r="1002" spans="1:15" ht="13.5" customHeight="1" thickBot="1">
      <c r="A1002" s="200"/>
      <c r="B1002" s="304" t="s">
        <v>2183</v>
      </c>
      <c r="C1002" s="304"/>
      <c r="D1002" s="304"/>
      <c r="E1002" s="304"/>
      <c r="F1002" s="304"/>
      <c r="G1002" s="304"/>
      <c r="H1002" s="304"/>
      <c r="I1002" s="304"/>
      <c r="J1002" s="304"/>
      <c r="K1002" s="304"/>
      <c r="L1002" s="304"/>
      <c r="M1002" s="304"/>
      <c r="N1002" s="304"/>
      <c r="O1002" s="202"/>
    </row>
    <row r="1003" spans="1:15" ht="13.5" thickTop="1">
      <c r="B1003" s="76"/>
      <c r="C1003" s="76"/>
      <c r="D1003" s="76"/>
      <c r="E1003" s="76"/>
      <c r="F1003" s="76"/>
      <c r="G1003" s="76"/>
      <c r="H1003" s="76"/>
      <c r="I1003" s="76"/>
      <c r="J1003" s="76"/>
      <c r="K1003" s="76"/>
      <c r="L1003" s="76"/>
      <c r="M1003" s="76"/>
      <c r="N1003" s="188" t="s">
        <v>670</v>
      </c>
    </row>
    <row r="1004" spans="1:15" hidden="1">
      <c r="B1004" s="76"/>
      <c r="C1004" s="76"/>
      <c r="D1004" s="95" t="s">
        <v>2207</v>
      </c>
      <c r="E1004" s="95" t="s">
        <v>2208</v>
      </c>
      <c r="F1004" s="95" t="s">
        <v>2209</v>
      </c>
      <c r="G1004" s="95" t="s">
        <v>2210</v>
      </c>
      <c r="H1004" s="95" t="s">
        <v>756</v>
      </c>
      <c r="I1004" s="95" t="s">
        <v>757</v>
      </c>
      <c r="J1004" s="95" t="s">
        <v>758</v>
      </c>
      <c r="K1004" s="95" t="s">
        <v>454</v>
      </c>
      <c r="L1004" s="76"/>
      <c r="M1004" s="76"/>
      <c r="N1004" s="76"/>
    </row>
    <row r="1005" spans="1:15" hidden="1">
      <c r="B1005" s="76"/>
      <c r="C1005" s="76"/>
      <c r="D1005" s="164" t="s">
        <v>1267</v>
      </c>
      <c r="E1005" s="164" t="s">
        <v>1192</v>
      </c>
      <c r="F1005" s="164" t="s">
        <v>2227</v>
      </c>
      <c r="G1005" s="164" t="s">
        <v>2254</v>
      </c>
      <c r="H1005" s="164" t="s">
        <v>1193</v>
      </c>
      <c r="I1005" s="164" t="s">
        <v>1267</v>
      </c>
      <c r="J1005" s="164" t="s">
        <v>1194</v>
      </c>
      <c r="K1005" s="164" t="s">
        <v>1195</v>
      </c>
      <c r="L1005" s="76"/>
      <c r="M1005" s="76"/>
      <c r="N1005" s="76"/>
    </row>
    <row r="1006" spans="1:15" hidden="1">
      <c r="B1006" s="76"/>
      <c r="C1006" s="76"/>
      <c r="D1006" s="82" t="s">
        <v>492</v>
      </c>
      <c r="E1006" s="175" t="s">
        <v>493</v>
      </c>
      <c r="F1006" s="175" t="s">
        <v>494</v>
      </c>
      <c r="G1006" s="175" t="s">
        <v>495</v>
      </c>
      <c r="H1006" s="175" t="s">
        <v>496</v>
      </c>
      <c r="I1006" s="175" t="s">
        <v>13</v>
      </c>
      <c r="J1006" s="175" t="s">
        <v>497</v>
      </c>
      <c r="K1006" s="175" t="s">
        <v>498</v>
      </c>
      <c r="L1006" s="76"/>
      <c r="M1006" s="76"/>
      <c r="N1006" s="76"/>
    </row>
    <row r="1007" spans="1:15" hidden="1">
      <c r="B1007" s="76"/>
      <c r="C1007" s="76"/>
      <c r="D1007" s="7" t="s">
        <v>665</v>
      </c>
      <c r="E1007" s="175" t="s">
        <v>201</v>
      </c>
      <c r="F1007" s="175" t="s">
        <v>246</v>
      </c>
      <c r="G1007" s="175" t="s">
        <v>922</v>
      </c>
      <c r="H1007" s="175" t="s">
        <v>206</v>
      </c>
      <c r="I1007" s="175" t="s">
        <v>14</v>
      </c>
      <c r="J1007" s="175" t="s">
        <v>819</v>
      </c>
      <c r="K1007" s="175" t="s">
        <v>490</v>
      </c>
      <c r="L1007" s="76"/>
      <c r="M1007" s="76"/>
      <c r="N1007" s="76"/>
    </row>
    <row r="1008" spans="1:15" hidden="1">
      <c r="B1008" s="76"/>
      <c r="C1008" s="76"/>
      <c r="D1008" s="164" t="s">
        <v>1828</v>
      </c>
      <c r="E1008" s="164" t="s">
        <v>1196</v>
      </c>
      <c r="F1008" s="164" t="s">
        <v>1197</v>
      </c>
      <c r="G1008" s="164" t="s">
        <v>1198</v>
      </c>
      <c r="H1008" s="164" t="s">
        <v>1199</v>
      </c>
      <c r="I1008" s="164" t="s">
        <v>1200</v>
      </c>
      <c r="J1008" s="82" t="s">
        <v>820</v>
      </c>
      <c r="K1008" s="164" t="s">
        <v>1202</v>
      </c>
      <c r="L1008" s="76"/>
      <c r="M1008" s="76"/>
      <c r="N1008" s="76"/>
    </row>
    <row r="1009" spans="2:22" hidden="1">
      <c r="B1009" s="76"/>
      <c r="C1009" s="76"/>
      <c r="D1009" s="164" t="s">
        <v>1825</v>
      </c>
      <c r="E1009" s="164" t="s">
        <v>1203</v>
      </c>
      <c r="F1009" s="164" t="s">
        <v>1204</v>
      </c>
      <c r="G1009" s="164" t="s">
        <v>1205</v>
      </c>
      <c r="H1009" s="164" t="s">
        <v>1206</v>
      </c>
      <c r="I1009" s="164" t="s">
        <v>1207</v>
      </c>
      <c r="J1009" s="164" t="s">
        <v>821</v>
      </c>
      <c r="K1009" s="164" t="s">
        <v>1208</v>
      </c>
      <c r="L1009" s="76"/>
      <c r="M1009" s="76"/>
      <c r="N1009" s="76"/>
    </row>
    <row r="1010" spans="2:22" hidden="1">
      <c r="B1010" s="76"/>
      <c r="C1010" s="76"/>
      <c r="D1010" s="164" t="s">
        <v>1826</v>
      </c>
      <c r="E1010" s="164" t="s">
        <v>1209</v>
      </c>
      <c r="F1010" s="164" t="s">
        <v>1210</v>
      </c>
      <c r="G1010" s="164" t="s">
        <v>1211</v>
      </c>
      <c r="H1010" s="164" t="s">
        <v>1212</v>
      </c>
      <c r="I1010" s="164" t="s">
        <v>1213</v>
      </c>
      <c r="J1010" s="164" t="s">
        <v>822</v>
      </c>
      <c r="K1010" s="164" t="s">
        <v>1214</v>
      </c>
      <c r="L1010" s="76"/>
      <c r="M1010" s="76"/>
      <c r="N1010" s="76"/>
    </row>
    <row r="1011" spans="2:22" hidden="1">
      <c r="B1011" s="76"/>
      <c r="C1011" s="76"/>
      <c r="D1011" s="164" t="s">
        <v>2110</v>
      </c>
      <c r="E1011" s="164" t="s">
        <v>1215</v>
      </c>
      <c r="F1011" s="164" t="s">
        <v>1216</v>
      </c>
      <c r="G1011" s="164" t="s">
        <v>1217</v>
      </c>
      <c r="H1011" s="164" t="s">
        <v>1218</v>
      </c>
      <c r="I1011" s="164" t="s">
        <v>1219</v>
      </c>
      <c r="J1011" s="164" t="s">
        <v>823</v>
      </c>
      <c r="K1011" s="164" t="s">
        <v>1220</v>
      </c>
      <c r="L1011" s="76"/>
      <c r="M1011" s="76"/>
      <c r="N1011" s="76"/>
    </row>
    <row r="1012" spans="2:22" hidden="1">
      <c r="B1012" s="76"/>
      <c r="C1012" s="76"/>
      <c r="D1012" s="164" t="s">
        <v>1317</v>
      </c>
      <c r="E1012" s="164" t="s">
        <v>1221</v>
      </c>
      <c r="F1012" s="164" t="s">
        <v>2287</v>
      </c>
      <c r="G1012" s="164" t="s">
        <v>1222</v>
      </c>
      <c r="H1012" s="164" t="s">
        <v>1223</v>
      </c>
      <c r="I1012" s="164" t="s">
        <v>1224</v>
      </c>
      <c r="J1012" s="164" t="s">
        <v>824</v>
      </c>
      <c r="K1012" s="164" t="s">
        <v>1225</v>
      </c>
      <c r="L1012" s="76"/>
      <c r="M1012" s="76"/>
      <c r="N1012" s="76"/>
    </row>
    <row r="1013" spans="2:22" hidden="1">
      <c r="B1013" s="76"/>
      <c r="C1013" s="76"/>
      <c r="D1013" s="164" t="s">
        <v>1318</v>
      </c>
      <c r="E1013" s="164" t="s">
        <v>1226</v>
      </c>
      <c r="F1013" s="164" t="s">
        <v>2288</v>
      </c>
      <c r="G1013" s="164" t="s">
        <v>1227</v>
      </c>
      <c r="H1013" s="164" t="s">
        <v>1228</v>
      </c>
      <c r="I1013" s="164" t="s">
        <v>1229</v>
      </c>
      <c r="J1013" s="164" t="s">
        <v>825</v>
      </c>
      <c r="K1013" s="164" t="s">
        <v>1230</v>
      </c>
      <c r="L1013" s="76"/>
      <c r="M1013" s="76"/>
      <c r="N1013" s="76"/>
    </row>
    <row r="1014" spans="2:22" hidden="1">
      <c r="B1014" s="76"/>
      <c r="C1014" s="76"/>
      <c r="D1014" s="164" t="s">
        <v>1268</v>
      </c>
      <c r="E1014" s="164" t="s">
        <v>2228</v>
      </c>
      <c r="F1014" s="164" t="s">
        <v>2289</v>
      </c>
      <c r="G1014" s="164" t="s">
        <v>1231</v>
      </c>
      <c r="H1014" s="164" t="s">
        <v>1232</v>
      </c>
      <c r="I1014" s="164" t="s">
        <v>1233</v>
      </c>
      <c r="J1014" s="164" t="s">
        <v>1234</v>
      </c>
      <c r="K1014" s="164" t="s">
        <v>1235</v>
      </c>
      <c r="L1014" s="76"/>
      <c r="M1014" s="76"/>
      <c r="N1014" s="76"/>
    </row>
    <row r="1015" spans="2:22" hidden="1">
      <c r="B1015" s="76"/>
      <c r="C1015" s="76"/>
      <c r="D1015" s="164" t="s">
        <v>1383</v>
      </c>
      <c r="E1015" s="164" t="s">
        <v>1236</v>
      </c>
      <c r="F1015" s="164" t="s">
        <v>1384</v>
      </c>
      <c r="G1015" s="164" t="s">
        <v>1385</v>
      </c>
      <c r="H1015" s="164" t="s">
        <v>1237</v>
      </c>
      <c r="I1015" s="164" t="s">
        <v>1238</v>
      </c>
      <c r="J1015" s="164" t="s">
        <v>826</v>
      </c>
      <c r="K1015" s="164" t="s">
        <v>1239</v>
      </c>
      <c r="L1015" s="76"/>
      <c r="M1015" s="76"/>
      <c r="N1015" s="76"/>
    </row>
    <row r="1016" spans="2:22" hidden="1">
      <c r="B1016" s="76"/>
      <c r="C1016" s="76"/>
      <c r="D1016" s="164" t="s">
        <v>1386</v>
      </c>
      <c r="E1016" s="164" t="s">
        <v>1240</v>
      </c>
      <c r="F1016" s="164" t="s">
        <v>1387</v>
      </c>
      <c r="G1016" s="164" t="s">
        <v>1388</v>
      </c>
      <c r="H1016" s="164" t="s">
        <v>1241</v>
      </c>
      <c r="I1016" s="164" t="s">
        <v>1242</v>
      </c>
      <c r="J1016" s="164" t="s">
        <v>827</v>
      </c>
      <c r="K1016" s="164" t="s">
        <v>1243</v>
      </c>
      <c r="L1016" s="76"/>
      <c r="M1016" s="76"/>
      <c r="N1016" s="76"/>
    </row>
    <row r="1017" spans="2:22" hidden="1">
      <c r="B1017" s="76"/>
      <c r="C1017" s="76"/>
      <c r="D1017" s="169" t="s">
        <v>1258</v>
      </c>
      <c r="E1017" s="169" t="s">
        <v>2217</v>
      </c>
      <c r="F1017" s="169" t="s">
        <v>2270</v>
      </c>
      <c r="G1017" s="169" t="s">
        <v>1158</v>
      </c>
      <c r="H1017" s="169" t="s">
        <v>1159</v>
      </c>
      <c r="I1017" s="169" t="s">
        <v>1160</v>
      </c>
      <c r="J1017" s="169" t="s">
        <v>818</v>
      </c>
      <c r="K1017" s="169" t="s">
        <v>1162</v>
      </c>
      <c r="L1017" s="76"/>
      <c r="M1017" s="76"/>
      <c r="N1017" s="76"/>
    </row>
    <row r="1018" spans="2:22" hidden="1">
      <c r="B1018" s="76"/>
      <c r="C1018" s="76"/>
      <c r="D1018" s="164" t="s">
        <v>1371</v>
      </c>
      <c r="E1018" s="164" t="s">
        <v>1244</v>
      </c>
      <c r="F1018" s="164" t="s">
        <v>1245</v>
      </c>
      <c r="G1018" s="164" t="s">
        <v>523</v>
      </c>
      <c r="H1018" s="164" t="s">
        <v>1246</v>
      </c>
      <c r="I1018" s="164" t="s">
        <v>1247</v>
      </c>
      <c r="J1018" s="164" t="s">
        <v>828</v>
      </c>
      <c r="K1018" s="164" t="s">
        <v>1248</v>
      </c>
      <c r="L1018" s="76"/>
      <c r="M1018" s="76"/>
      <c r="N1018" s="76"/>
    </row>
    <row r="1019" spans="2:22" hidden="1">
      <c r="B1019" s="76"/>
      <c r="C1019" s="76"/>
      <c r="D1019" s="198" t="s">
        <v>666</v>
      </c>
      <c r="E1019" s="175" t="s">
        <v>202</v>
      </c>
      <c r="F1019" s="199" t="s">
        <v>247</v>
      </c>
      <c r="G1019" s="175" t="s">
        <v>923</v>
      </c>
      <c r="H1019" s="164" t="s">
        <v>207</v>
      </c>
      <c r="I1019" s="175" t="s">
        <v>15</v>
      </c>
      <c r="J1019" s="175" t="s">
        <v>829</v>
      </c>
      <c r="K1019" s="175" t="s">
        <v>491</v>
      </c>
      <c r="L1019" s="76"/>
      <c r="M1019" s="76"/>
      <c r="N1019" s="76"/>
    </row>
    <row r="1020" spans="2:22" hidden="1">
      <c r="B1020" s="76"/>
      <c r="C1020" s="76"/>
      <c r="D1020" s="76"/>
      <c r="E1020" s="76"/>
      <c r="F1020" s="76"/>
      <c r="G1020" s="76"/>
      <c r="H1020" s="76"/>
      <c r="I1020" s="76"/>
      <c r="J1020" s="76"/>
      <c r="K1020" s="76"/>
      <c r="L1020" s="76"/>
      <c r="M1020" s="76"/>
      <c r="N1020" s="76"/>
    </row>
    <row r="1021" spans="2:22" hidden="1">
      <c r="B1021" s="76"/>
      <c r="C1021" s="76"/>
      <c r="D1021" s="95" t="s">
        <v>1433</v>
      </c>
      <c r="E1021" s="95" t="s">
        <v>1834</v>
      </c>
      <c r="F1021" s="95"/>
      <c r="G1021" s="95" t="s">
        <v>1191</v>
      </c>
      <c r="H1021" s="95" t="s">
        <v>1186</v>
      </c>
      <c r="I1021" s="95" t="s">
        <v>1184</v>
      </c>
      <c r="J1021" s="95"/>
      <c r="K1021" s="95"/>
      <c r="L1021" s="95"/>
      <c r="M1021" s="95"/>
      <c r="N1021" s="95"/>
      <c r="O1021" s="95"/>
      <c r="P1021" s="95"/>
      <c r="Q1021" s="95"/>
      <c r="R1021" s="95"/>
      <c r="S1021" s="95"/>
      <c r="T1021" s="95"/>
      <c r="U1021" s="95"/>
      <c r="V1021" s="95"/>
    </row>
    <row r="1022" spans="2:22" hidden="1">
      <c r="B1022" s="76"/>
      <c r="C1022" s="76"/>
      <c r="D1022" s="76" t="s">
        <v>1437</v>
      </c>
      <c r="E1022" s="76" t="s">
        <v>1838</v>
      </c>
      <c r="F1022" s="95" t="s">
        <v>1187</v>
      </c>
      <c r="G1022" s="107" t="s">
        <v>669</v>
      </c>
      <c r="H1022" s="95"/>
      <c r="I1022" s="95"/>
      <c r="L1022" s="76"/>
    </row>
    <row r="1023" spans="2:22" hidden="1">
      <c r="B1023" s="76"/>
      <c r="C1023" s="76"/>
      <c r="D1023" s="76" t="s">
        <v>1493</v>
      </c>
      <c r="E1023" s="76" t="s">
        <v>1894</v>
      </c>
      <c r="F1023" s="95" t="s">
        <v>1188</v>
      </c>
      <c r="G1023" s="107" t="s">
        <v>1739</v>
      </c>
      <c r="H1023" s="107" t="s">
        <v>1447</v>
      </c>
      <c r="I1023" s="76" t="s">
        <v>1185</v>
      </c>
      <c r="L1023" s="76"/>
    </row>
    <row r="1024" spans="2:22" hidden="1">
      <c r="B1024" s="76"/>
      <c r="C1024" s="76"/>
      <c r="D1024" s="76" t="s">
        <v>1443</v>
      </c>
      <c r="E1024" s="76" t="s">
        <v>1844</v>
      </c>
      <c r="F1024" s="95" t="s">
        <v>1189</v>
      </c>
      <c r="G1024" s="76" t="s">
        <v>252</v>
      </c>
      <c r="H1024" s="76" t="s">
        <v>1542</v>
      </c>
      <c r="I1024" s="76" t="s">
        <v>676</v>
      </c>
      <c r="L1024" s="76"/>
    </row>
    <row r="1025" spans="2:14" hidden="1">
      <c r="B1025" s="76"/>
      <c r="C1025" s="76"/>
      <c r="D1025" s="76" t="s">
        <v>1438</v>
      </c>
      <c r="E1025" s="76" t="s">
        <v>1839</v>
      </c>
      <c r="F1025" s="95" t="s">
        <v>1190</v>
      </c>
      <c r="G1025" s="76" t="s">
        <v>251</v>
      </c>
      <c r="H1025" s="76" t="s">
        <v>1488</v>
      </c>
      <c r="I1025" s="76" t="s">
        <v>671</v>
      </c>
      <c r="L1025" s="76"/>
    </row>
    <row r="1026" spans="2:14" hidden="1">
      <c r="B1026" s="76"/>
      <c r="C1026" s="76"/>
      <c r="D1026" s="76" t="s">
        <v>1435</v>
      </c>
      <c r="E1026" s="76" t="s">
        <v>1836</v>
      </c>
      <c r="F1026" s="76"/>
      <c r="G1026" s="76" t="s">
        <v>250</v>
      </c>
      <c r="H1026" s="76" t="s">
        <v>1488</v>
      </c>
      <c r="I1026" s="76" t="s">
        <v>671</v>
      </c>
      <c r="L1026" s="76"/>
    </row>
    <row r="1027" spans="2:14" hidden="1">
      <c r="B1027" s="76"/>
      <c r="C1027" s="76"/>
      <c r="D1027" s="76" t="s">
        <v>1436</v>
      </c>
      <c r="E1027" s="76" t="s">
        <v>1837</v>
      </c>
      <c r="F1027" s="76"/>
      <c r="G1027" s="76" t="s">
        <v>1333</v>
      </c>
      <c r="H1027" s="76" t="s">
        <v>1488</v>
      </c>
      <c r="I1027" s="76" t="s">
        <v>671</v>
      </c>
      <c r="L1027" s="76"/>
    </row>
    <row r="1028" spans="2:14" hidden="1">
      <c r="B1028" s="76"/>
      <c r="C1028" s="76"/>
      <c r="D1028" s="76" t="s">
        <v>1444</v>
      </c>
      <c r="E1028" s="76" t="s">
        <v>1845</v>
      </c>
      <c r="F1028" s="76"/>
      <c r="G1028" s="76" t="s">
        <v>671</v>
      </c>
      <c r="H1028" s="76" t="s">
        <v>1488</v>
      </c>
      <c r="I1028" s="76" t="s">
        <v>671</v>
      </c>
      <c r="L1028" s="76"/>
    </row>
    <row r="1029" spans="2:14" hidden="1">
      <c r="B1029" s="76"/>
      <c r="C1029" s="76"/>
      <c r="D1029" s="76" t="s">
        <v>1446</v>
      </c>
      <c r="E1029" s="76" t="s">
        <v>1847</v>
      </c>
      <c r="F1029" s="76"/>
      <c r="G1029" s="76" t="s">
        <v>1334</v>
      </c>
      <c r="H1029" s="76" t="s">
        <v>2083</v>
      </c>
      <c r="I1029" s="76" t="s">
        <v>1334</v>
      </c>
      <c r="L1029" s="76"/>
    </row>
    <row r="1030" spans="2:14" hidden="1">
      <c r="B1030" s="76"/>
      <c r="C1030" s="76"/>
      <c r="D1030" s="76" t="s">
        <v>1441</v>
      </c>
      <c r="E1030" s="76" t="s">
        <v>1842</v>
      </c>
      <c r="F1030" s="76"/>
      <c r="G1030" s="76" t="s">
        <v>674</v>
      </c>
      <c r="H1030" s="76" t="s">
        <v>1463</v>
      </c>
      <c r="I1030" s="76" t="s">
        <v>673</v>
      </c>
      <c r="L1030" s="76"/>
    </row>
    <row r="1031" spans="2:14" hidden="1">
      <c r="B1031" s="76"/>
      <c r="C1031" s="76"/>
      <c r="D1031" s="76" t="s">
        <v>1442</v>
      </c>
      <c r="E1031" s="76" t="s">
        <v>1843</v>
      </c>
      <c r="F1031" s="76"/>
      <c r="G1031" s="76" t="s">
        <v>673</v>
      </c>
      <c r="H1031" s="76" t="s">
        <v>1463</v>
      </c>
      <c r="I1031" s="76" t="s">
        <v>673</v>
      </c>
      <c r="L1031" s="76"/>
    </row>
    <row r="1032" spans="2:14" hidden="1">
      <c r="B1032" s="76"/>
      <c r="C1032" s="76"/>
      <c r="D1032" s="76" t="s">
        <v>1434</v>
      </c>
      <c r="E1032" s="76" t="s">
        <v>1835</v>
      </c>
      <c r="F1032" s="76"/>
      <c r="G1032" s="76" t="s">
        <v>1335</v>
      </c>
      <c r="H1032" s="76" t="s">
        <v>1472</v>
      </c>
      <c r="I1032" s="76" t="s">
        <v>675</v>
      </c>
      <c r="L1032" s="76"/>
    </row>
    <row r="1033" spans="2:14" hidden="1">
      <c r="B1033" s="76"/>
      <c r="C1033" s="76"/>
      <c r="D1033" s="76" t="s">
        <v>1447</v>
      </c>
      <c r="E1033" s="76" t="s">
        <v>1848</v>
      </c>
      <c r="F1033" s="76"/>
      <c r="G1033" s="76" t="s">
        <v>675</v>
      </c>
      <c r="H1033" s="76" t="s">
        <v>1472</v>
      </c>
      <c r="I1033" s="76" t="s">
        <v>675</v>
      </c>
      <c r="L1033" s="76"/>
    </row>
    <row r="1034" spans="2:14" hidden="1">
      <c r="B1034" s="76"/>
      <c r="C1034" s="76"/>
      <c r="D1034" s="76" t="s">
        <v>1448</v>
      </c>
      <c r="E1034" s="76" t="s">
        <v>1849</v>
      </c>
      <c r="F1034" s="76"/>
      <c r="G1034" s="76" t="s">
        <v>676</v>
      </c>
      <c r="H1034" s="76" t="s">
        <v>1542</v>
      </c>
      <c r="I1034" s="76" t="s">
        <v>676</v>
      </c>
      <c r="L1034" s="76"/>
    </row>
    <row r="1035" spans="2:14" hidden="1">
      <c r="B1035" s="76"/>
      <c r="C1035" s="76"/>
      <c r="D1035" s="76" t="s">
        <v>1449</v>
      </c>
      <c r="E1035" s="76" t="s">
        <v>1850</v>
      </c>
      <c r="F1035" s="76"/>
      <c r="G1035" s="76" t="s">
        <v>253</v>
      </c>
      <c r="H1035" s="76" t="s">
        <v>1542</v>
      </c>
      <c r="I1035" s="76" t="s">
        <v>676</v>
      </c>
      <c r="L1035" s="76"/>
    </row>
    <row r="1036" spans="2:14" hidden="1">
      <c r="B1036" s="76"/>
      <c r="C1036" s="76"/>
      <c r="D1036" s="76" t="s">
        <v>1457</v>
      </c>
      <c r="E1036" s="76" t="s">
        <v>1858</v>
      </c>
      <c r="F1036" s="76"/>
      <c r="G1036" s="76" t="s">
        <v>678</v>
      </c>
      <c r="H1036" s="76" t="s">
        <v>2074</v>
      </c>
      <c r="I1036" s="76" t="s">
        <v>677</v>
      </c>
      <c r="L1036" s="76"/>
    </row>
    <row r="1037" spans="2:14" hidden="1">
      <c r="B1037" s="76"/>
      <c r="C1037" s="76"/>
      <c r="D1037" s="76" t="s">
        <v>1456</v>
      </c>
      <c r="E1037" s="76" t="s">
        <v>1857</v>
      </c>
      <c r="F1037" s="76"/>
      <c r="G1037" s="76" t="s">
        <v>677</v>
      </c>
      <c r="H1037" s="76" t="s">
        <v>2074</v>
      </c>
      <c r="I1037" s="76" t="s">
        <v>677</v>
      </c>
      <c r="L1037" s="76"/>
      <c r="M1037" s="76"/>
      <c r="N1037" s="76"/>
    </row>
    <row r="1038" spans="2:14" hidden="1">
      <c r="B1038" s="76"/>
      <c r="C1038" s="76"/>
      <c r="D1038" s="76" t="s">
        <v>1454</v>
      </c>
      <c r="E1038" s="76" t="s">
        <v>1855</v>
      </c>
      <c r="F1038" s="76"/>
      <c r="G1038" s="76" t="s">
        <v>1336</v>
      </c>
      <c r="H1038" s="76" t="s">
        <v>1488</v>
      </c>
      <c r="I1038" s="76" t="s">
        <v>679</v>
      </c>
      <c r="L1038" s="76"/>
      <c r="M1038" s="76"/>
      <c r="N1038" s="76"/>
    </row>
    <row r="1039" spans="2:14" hidden="1">
      <c r="B1039" s="76"/>
      <c r="C1039" s="76"/>
      <c r="D1039" s="76" t="s">
        <v>1464</v>
      </c>
      <c r="E1039" s="76" t="s">
        <v>1865</v>
      </c>
      <c r="F1039" s="76"/>
      <c r="G1039" s="76" t="s">
        <v>679</v>
      </c>
      <c r="H1039" s="76" t="s">
        <v>1488</v>
      </c>
      <c r="I1039" s="76" t="s">
        <v>679</v>
      </c>
      <c r="L1039" s="76"/>
      <c r="M1039" s="76"/>
      <c r="N1039" s="76"/>
    </row>
    <row r="1040" spans="2:14" hidden="1">
      <c r="B1040" s="76"/>
      <c r="C1040" s="76"/>
      <c r="D1040" s="76" t="s">
        <v>1459</v>
      </c>
      <c r="E1040" s="76" t="s">
        <v>1860</v>
      </c>
      <c r="F1040" s="76"/>
      <c r="G1040" s="76" t="s">
        <v>1337</v>
      </c>
      <c r="H1040" s="76" t="s">
        <v>1601</v>
      </c>
      <c r="I1040" s="76" t="s">
        <v>1337</v>
      </c>
      <c r="L1040" s="76"/>
      <c r="M1040" s="76"/>
      <c r="N1040" s="76"/>
    </row>
    <row r="1041" spans="2:14" hidden="1">
      <c r="B1041" s="76"/>
      <c r="C1041" s="76"/>
      <c r="D1041" s="76" t="s">
        <v>1451</v>
      </c>
      <c r="E1041" s="76" t="s">
        <v>1852</v>
      </c>
      <c r="F1041" s="76"/>
      <c r="G1041" s="76" t="s">
        <v>682</v>
      </c>
      <c r="H1041" s="76" t="s">
        <v>2059</v>
      </c>
      <c r="I1041" s="76" t="s">
        <v>682</v>
      </c>
      <c r="L1041" s="76"/>
      <c r="M1041" s="76"/>
      <c r="N1041" s="76"/>
    </row>
    <row r="1042" spans="2:14" hidden="1">
      <c r="B1042" s="76"/>
      <c r="C1042" s="76"/>
      <c r="D1042" s="76" t="s">
        <v>1460</v>
      </c>
      <c r="E1042" s="76" t="s">
        <v>1861</v>
      </c>
      <c r="F1042" s="76"/>
      <c r="G1042" s="76" t="s">
        <v>1296</v>
      </c>
      <c r="H1042" s="76" t="s">
        <v>2059</v>
      </c>
      <c r="I1042" s="76" t="s">
        <v>682</v>
      </c>
      <c r="L1042" s="76"/>
      <c r="M1042" s="76"/>
      <c r="N1042" s="76"/>
    </row>
    <row r="1043" spans="2:14" hidden="1">
      <c r="B1043" s="76"/>
      <c r="C1043" s="76"/>
      <c r="D1043" s="76" t="s">
        <v>1452</v>
      </c>
      <c r="E1043" s="76" t="s">
        <v>1853</v>
      </c>
      <c r="F1043" s="76"/>
      <c r="G1043" s="76" t="s">
        <v>300</v>
      </c>
      <c r="H1043" s="76" t="s">
        <v>1470</v>
      </c>
      <c r="I1043" s="76" t="s">
        <v>43</v>
      </c>
      <c r="L1043" s="76"/>
      <c r="M1043" s="76"/>
      <c r="N1043" s="76"/>
    </row>
    <row r="1044" spans="2:14" hidden="1">
      <c r="B1044" s="76"/>
      <c r="C1044" s="76"/>
      <c r="D1044" s="76" t="s">
        <v>1461</v>
      </c>
      <c r="E1044" s="76" t="s">
        <v>1862</v>
      </c>
      <c r="F1044" s="76"/>
      <c r="G1044" s="76" t="s">
        <v>1338</v>
      </c>
      <c r="H1044" s="76" t="s">
        <v>1568</v>
      </c>
      <c r="I1044" s="76" t="s">
        <v>1338</v>
      </c>
      <c r="L1044" s="76"/>
      <c r="M1044" s="76"/>
      <c r="N1044" s="76"/>
    </row>
    <row r="1045" spans="2:14" hidden="1">
      <c r="B1045" s="76"/>
      <c r="C1045" s="76"/>
      <c r="D1045" s="76" t="s">
        <v>1466</v>
      </c>
      <c r="E1045" s="76" t="s">
        <v>1867</v>
      </c>
      <c r="F1045" s="76"/>
      <c r="G1045" s="76" t="s">
        <v>301</v>
      </c>
      <c r="H1045" s="76" t="s">
        <v>1470</v>
      </c>
      <c r="I1045" s="76" t="s">
        <v>43</v>
      </c>
      <c r="L1045" s="76"/>
      <c r="M1045" s="76"/>
      <c r="N1045" s="76"/>
    </row>
    <row r="1046" spans="2:14" hidden="1">
      <c r="B1046" s="76"/>
      <c r="C1046" s="76"/>
      <c r="D1046" s="76" t="s">
        <v>1462</v>
      </c>
      <c r="E1046" s="76" t="s">
        <v>1863</v>
      </c>
      <c r="F1046" s="76"/>
      <c r="G1046" s="76" t="s">
        <v>683</v>
      </c>
      <c r="H1046" s="76" t="s">
        <v>1472</v>
      </c>
      <c r="I1046" s="76" t="s">
        <v>683</v>
      </c>
      <c r="L1046" s="76"/>
      <c r="M1046" s="76"/>
      <c r="N1046" s="76"/>
    </row>
    <row r="1047" spans="2:14" hidden="1">
      <c r="B1047" s="76"/>
      <c r="C1047" s="76"/>
      <c r="D1047" s="76" t="s">
        <v>1458</v>
      </c>
      <c r="E1047" s="76" t="s">
        <v>1859</v>
      </c>
      <c r="F1047" s="76"/>
      <c r="G1047" s="76" t="s">
        <v>684</v>
      </c>
      <c r="H1047" s="76" t="s">
        <v>1472</v>
      </c>
      <c r="I1047" s="76" t="s">
        <v>683</v>
      </c>
      <c r="L1047" s="76"/>
      <c r="M1047" s="76"/>
      <c r="N1047" s="76"/>
    </row>
    <row r="1048" spans="2:14" hidden="1">
      <c r="B1048" s="76"/>
      <c r="C1048" s="76"/>
      <c r="D1048" s="76" t="s">
        <v>1468</v>
      </c>
      <c r="E1048" s="76" t="s">
        <v>1869</v>
      </c>
      <c r="F1048" s="76"/>
      <c r="G1048" s="76" t="s">
        <v>1339</v>
      </c>
      <c r="H1048" s="76" t="s">
        <v>1549</v>
      </c>
      <c r="I1048" s="76" t="s">
        <v>1339</v>
      </c>
      <c r="L1048" s="76"/>
      <c r="M1048" s="76"/>
      <c r="N1048" s="76"/>
    </row>
    <row r="1049" spans="2:14" hidden="1">
      <c r="B1049" s="76"/>
      <c r="C1049" s="76"/>
      <c r="D1049" s="76" t="s">
        <v>1467</v>
      </c>
      <c r="E1049" s="76" t="s">
        <v>1868</v>
      </c>
      <c r="F1049" s="76"/>
      <c r="G1049" s="76" t="s">
        <v>681</v>
      </c>
      <c r="H1049" s="76" t="s">
        <v>1601</v>
      </c>
      <c r="I1049" s="76" t="s">
        <v>1337</v>
      </c>
      <c r="L1049" s="76"/>
      <c r="M1049" s="76"/>
      <c r="N1049" s="76"/>
    </row>
    <row r="1050" spans="2:14" hidden="1">
      <c r="B1050" s="76"/>
      <c r="C1050" s="76"/>
      <c r="D1050" s="76" t="s">
        <v>1463</v>
      </c>
      <c r="E1050" s="76" t="s">
        <v>1864</v>
      </c>
      <c r="F1050" s="76"/>
      <c r="G1050" s="76" t="s">
        <v>685</v>
      </c>
      <c r="H1050" s="76" t="s">
        <v>1539</v>
      </c>
      <c r="I1050" s="76" t="s">
        <v>1297</v>
      </c>
      <c r="L1050" s="76"/>
      <c r="M1050" s="76"/>
      <c r="N1050" s="76"/>
    </row>
    <row r="1051" spans="2:14" hidden="1">
      <c r="B1051" s="76"/>
      <c r="C1051" s="76"/>
      <c r="D1051" s="76" t="s">
        <v>1533</v>
      </c>
      <c r="E1051" s="76" t="s">
        <v>1934</v>
      </c>
      <c r="F1051" s="76"/>
      <c r="G1051" s="76" t="s">
        <v>1297</v>
      </c>
      <c r="H1051" s="76" t="s">
        <v>1539</v>
      </c>
      <c r="I1051" s="76" t="s">
        <v>1297</v>
      </c>
      <c r="L1051" s="76"/>
      <c r="M1051" s="76"/>
      <c r="N1051" s="76"/>
    </row>
    <row r="1052" spans="2:14" hidden="1">
      <c r="B1052" s="76"/>
      <c r="C1052" s="76"/>
      <c r="D1052" s="76" t="s">
        <v>1465</v>
      </c>
      <c r="E1052" s="76" t="s">
        <v>1866</v>
      </c>
      <c r="F1052" s="76"/>
      <c r="G1052" s="76" t="s">
        <v>281</v>
      </c>
      <c r="H1052" s="76" t="s">
        <v>1474</v>
      </c>
      <c r="I1052" s="76" t="s">
        <v>714</v>
      </c>
      <c r="L1052" s="76"/>
      <c r="M1052" s="76"/>
      <c r="N1052" s="76"/>
    </row>
    <row r="1053" spans="2:14" hidden="1">
      <c r="B1053" s="76"/>
      <c r="C1053" s="76"/>
      <c r="D1053" s="76" t="s">
        <v>1455</v>
      </c>
      <c r="E1053" s="76" t="s">
        <v>1856</v>
      </c>
      <c r="F1053" s="76"/>
      <c r="G1053" s="76" t="s">
        <v>1340</v>
      </c>
      <c r="H1053" s="76" t="s">
        <v>1473</v>
      </c>
      <c r="I1053" s="76" t="s">
        <v>1340</v>
      </c>
      <c r="L1053" s="76"/>
      <c r="M1053" s="76"/>
      <c r="N1053" s="76"/>
    </row>
    <row r="1054" spans="2:14" hidden="1">
      <c r="B1054" s="76"/>
      <c r="C1054" s="76"/>
      <c r="D1054" s="76" t="s">
        <v>1453</v>
      </c>
      <c r="E1054" s="76" t="s">
        <v>1854</v>
      </c>
      <c r="F1054" s="76"/>
      <c r="G1054" s="76" t="s">
        <v>1341</v>
      </c>
      <c r="H1054" s="76" t="s">
        <v>1542</v>
      </c>
      <c r="I1054" s="76" t="s">
        <v>1341</v>
      </c>
      <c r="L1054" s="76"/>
      <c r="M1054" s="76"/>
      <c r="N1054" s="76"/>
    </row>
    <row r="1055" spans="2:14" hidden="1">
      <c r="B1055" s="76"/>
      <c r="C1055" s="76"/>
      <c r="D1055" s="76" t="s">
        <v>1450</v>
      </c>
      <c r="E1055" s="76" t="s">
        <v>1851</v>
      </c>
      <c r="F1055" s="76"/>
      <c r="G1055" s="76" t="s">
        <v>260</v>
      </c>
      <c r="H1055" s="76" t="s">
        <v>1542</v>
      </c>
      <c r="I1055" s="76" t="s">
        <v>1341</v>
      </c>
      <c r="L1055" s="76"/>
      <c r="M1055" s="76"/>
      <c r="N1055" s="76"/>
    </row>
    <row r="1056" spans="2:14" hidden="1">
      <c r="B1056" s="76"/>
      <c r="C1056" s="76"/>
      <c r="D1056" s="76" t="s">
        <v>1546</v>
      </c>
      <c r="E1056" s="76" t="s">
        <v>1947</v>
      </c>
      <c r="F1056" s="76"/>
      <c r="G1056" s="76" t="s">
        <v>255</v>
      </c>
      <c r="H1056" s="76" t="s">
        <v>1542</v>
      </c>
      <c r="I1056" s="76" t="s">
        <v>1341</v>
      </c>
      <c r="L1056" s="76"/>
      <c r="M1056" s="76"/>
      <c r="N1056" s="76"/>
    </row>
    <row r="1057" spans="2:14" hidden="1">
      <c r="B1057" s="76"/>
      <c r="C1057" s="76"/>
      <c r="D1057" s="76" t="s">
        <v>1476</v>
      </c>
      <c r="E1057" s="76" t="s">
        <v>1877</v>
      </c>
      <c r="F1057" s="76"/>
      <c r="G1057" s="76" t="s">
        <v>258</v>
      </c>
      <c r="H1057" s="76" t="s">
        <v>1542</v>
      </c>
      <c r="I1057" s="76" t="s">
        <v>1341</v>
      </c>
      <c r="L1057" s="76"/>
      <c r="M1057" s="76"/>
      <c r="N1057" s="76"/>
    </row>
    <row r="1058" spans="2:14" hidden="1">
      <c r="B1058" s="76"/>
      <c r="C1058" s="76"/>
      <c r="D1058" s="76" t="s">
        <v>1470</v>
      </c>
      <c r="E1058" s="76" t="s">
        <v>1871</v>
      </c>
      <c r="F1058" s="76"/>
      <c r="G1058" s="76" t="s">
        <v>256</v>
      </c>
      <c r="H1058" s="76" t="s">
        <v>1542</v>
      </c>
      <c r="I1058" s="76" t="s">
        <v>1341</v>
      </c>
      <c r="L1058" s="76"/>
      <c r="M1058" s="76"/>
      <c r="N1058" s="76"/>
    </row>
    <row r="1059" spans="2:14" hidden="1">
      <c r="B1059" s="76"/>
      <c r="C1059" s="76"/>
      <c r="D1059" s="76" t="s">
        <v>1481</v>
      </c>
      <c r="E1059" s="76" t="s">
        <v>1882</v>
      </c>
      <c r="F1059" s="76"/>
      <c r="G1059" s="76" t="s">
        <v>259</v>
      </c>
      <c r="H1059" s="76" t="s">
        <v>1542</v>
      </c>
      <c r="I1059" s="76" t="s">
        <v>1341</v>
      </c>
      <c r="L1059" s="76"/>
      <c r="M1059" s="76"/>
      <c r="N1059" s="76"/>
    </row>
    <row r="1060" spans="2:14" hidden="1">
      <c r="B1060" s="76"/>
      <c r="C1060" s="76"/>
      <c r="D1060" s="76" t="s">
        <v>1485</v>
      </c>
      <c r="E1060" s="76" t="s">
        <v>1886</v>
      </c>
      <c r="F1060" s="76"/>
      <c r="G1060" s="76" t="s">
        <v>257</v>
      </c>
      <c r="H1060" s="76" t="s">
        <v>1542</v>
      </c>
      <c r="I1060" s="76" t="s">
        <v>1341</v>
      </c>
      <c r="L1060" s="76"/>
      <c r="M1060" s="76"/>
      <c r="N1060" s="76"/>
    </row>
    <row r="1061" spans="2:14" hidden="1">
      <c r="B1061" s="76"/>
      <c r="C1061" s="76"/>
      <c r="D1061" s="76" t="s">
        <v>1469</v>
      </c>
      <c r="E1061" s="76" t="s">
        <v>1870</v>
      </c>
      <c r="F1061" s="76"/>
      <c r="G1061" s="76" t="s">
        <v>694</v>
      </c>
      <c r="H1061" s="76" t="s">
        <v>2040</v>
      </c>
      <c r="I1061" s="76" t="s">
        <v>1344</v>
      </c>
      <c r="L1061" s="76"/>
      <c r="M1061" s="76"/>
      <c r="N1061" s="76"/>
    </row>
    <row r="1062" spans="2:14" hidden="1">
      <c r="B1062" s="76"/>
      <c r="C1062" s="76"/>
      <c r="D1062" s="76" t="s">
        <v>2064</v>
      </c>
      <c r="E1062" s="76" t="s">
        <v>1398</v>
      </c>
      <c r="F1062" s="76"/>
      <c r="G1062" s="76" t="s">
        <v>1342</v>
      </c>
      <c r="H1062" s="76" t="s">
        <v>2040</v>
      </c>
      <c r="I1062" s="76" t="s">
        <v>1342</v>
      </c>
      <c r="L1062" s="76"/>
      <c r="M1062" s="76"/>
      <c r="N1062" s="76"/>
    </row>
    <row r="1063" spans="2:14" hidden="1">
      <c r="B1063" s="76"/>
      <c r="C1063" s="76"/>
      <c r="D1063" s="76" t="s">
        <v>1473</v>
      </c>
      <c r="E1063" s="76" t="s">
        <v>1874</v>
      </c>
      <c r="F1063" s="76"/>
      <c r="G1063" s="76" t="s">
        <v>723</v>
      </c>
      <c r="H1063" s="76" t="s">
        <v>1474</v>
      </c>
      <c r="I1063" s="76" t="s">
        <v>1300</v>
      </c>
      <c r="L1063" s="76"/>
      <c r="M1063" s="76"/>
      <c r="N1063" s="76"/>
    </row>
    <row r="1064" spans="2:14" hidden="1">
      <c r="B1064" s="76"/>
      <c r="C1064" s="76"/>
      <c r="D1064" s="76" t="s">
        <v>1474</v>
      </c>
      <c r="E1064" s="76" t="s">
        <v>1875</v>
      </c>
      <c r="F1064" s="76"/>
      <c r="G1064" s="76" t="s">
        <v>1811</v>
      </c>
      <c r="H1064" s="76" t="s">
        <v>1488</v>
      </c>
      <c r="I1064" s="76" t="s">
        <v>1811</v>
      </c>
      <c r="L1064" s="76"/>
      <c r="M1064" s="76"/>
      <c r="N1064" s="76"/>
    </row>
    <row r="1065" spans="2:14" hidden="1">
      <c r="B1065" s="76"/>
      <c r="C1065" s="76"/>
      <c r="D1065" s="76" t="s">
        <v>1484</v>
      </c>
      <c r="E1065" s="76" t="s">
        <v>1885</v>
      </c>
      <c r="F1065" s="76"/>
      <c r="G1065" s="76" t="s">
        <v>261</v>
      </c>
      <c r="H1065" s="76" t="s">
        <v>1488</v>
      </c>
      <c r="I1065" s="76" t="s">
        <v>686</v>
      </c>
      <c r="L1065" s="76"/>
      <c r="M1065" s="76"/>
      <c r="N1065" s="76"/>
    </row>
    <row r="1066" spans="2:14" hidden="1">
      <c r="B1066" s="76"/>
      <c r="C1066" s="76"/>
      <c r="D1066" s="76" t="s">
        <v>1471</v>
      </c>
      <c r="E1066" s="76" t="s">
        <v>1872</v>
      </c>
      <c r="F1066" s="76"/>
      <c r="G1066" s="76" t="s">
        <v>262</v>
      </c>
      <c r="H1066" s="76" t="s">
        <v>1488</v>
      </c>
      <c r="I1066" s="76" t="s">
        <v>686</v>
      </c>
      <c r="L1066" s="76"/>
      <c r="M1066" s="76"/>
      <c r="N1066" s="76"/>
    </row>
    <row r="1067" spans="2:14" hidden="1">
      <c r="B1067" s="76"/>
      <c r="C1067" s="76"/>
      <c r="D1067" s="76" t="s">
        <v>1479</v>
      </c>
      <c r="E1067" s="76" t="s">
        <v>1880</v>
      </c>
      <c r="F1067" s="76"/>
      <c r="G1067" s="76" t="s">
        <v>265</v>
      </c>
      <c r="H1067" s="76" t="s">
        <v>1525</v>
      </c>
      <c r="I1067" s="76" t="s">
        <v>687</v>
      </c>
      <c r="L1067" s="76"/>
      <c r="M1067" s="76"/>
      <c r="N1067" s="76"/>
    </row>
    <row r="1068" spans="2:14" hidden="1">
      <c r="B1068" s="76"/>
      <c r="C1068" s="76"/>
      <c r="D1068" s="76" t="s">
        <v>1480</v>
      </c>
      <c r="E1068" s="76" t="s">
        <v>1881</v>
      </c>
      <c r="F1068" s="76"/>
      <c r="G1068" s="76" t="s">
        <v>266</v>
      </c>
      <c r="H1068" s="76" t="s">
        <v>1525</v>
      </c>
      <c r="I1068" s="76" t="s">
        <v>687</v>
      </c>
      <c r="L1068" s="76"/>
      <c r="M1068" s="76"/>
      <c r="N1068" s="76"/>
    </row>
    <row r="1069" spans="2:14" hidden="1">
      <c r="B1069" s="76"/>
      <c r="C1069" s="76"/>
      <c r="D1069" s="76" t="s">
        <v>1477</v>
      </c>
      <c r="E1069" s="76" t="s">
        <v>1878</v>
      </c>
      <c r="F1069" s="76"/>
      <c r="G1069" s="76" t="s">
        <v>687</v>
      </c>
      <c r="H1069" s="76" t="s">
        <v>1525</v>
      </c>
      <c r="I1069" s="76" t="s">
        <v>687</v>
      </c>
      <c r="L1069" s="76"/>
      <c r="M1069" s="76"/>
      <c r="N1069" s="76"/>
    </row>
    <row r="1070" spans="2:14" hidden="1">
      <c r="B1070" s="76"/>
      <c r="C1070" s="76"/>
      <c r="D1070" s="76" t="s">
        <v>1478</v>
      </c>
      <c r="E1070" s="76" t="s">
        <v>1879</v>
      </c>
      <c r="F1070" s="76"/>
      <c r="G1070" s="76" t="s">
        <v>263</v>
      </c>
      <c r="H1070" s="76" t="s">
        <v>1488</v>
      </c>
      <c r="I1070" s="76" t="s">
        <v>686</v>
      </c>
      <c r="J1070" s="76"/>
      <c r="K1070" s="76"/>
      <c r="L1070" s="76"/>
      <c r="M1070" s="76"/>
      <c r="N1070" s="76"/>
    </row>
    <row r="1071" spans="2:14" hidden="1">
      <c r="B1071" s="76"/>
      <c r="C1071" s="76"/>
      <c r="D1071" s="76" t="s">
        <v>1482</v>
      </c>
      <c r="E1071" s="76" t="s">
        <v>1883</v>
      </c>
      <c r="F1071" s="76"/>
      <c r="G1071" s="76" t="s">
        <v>686</v>
      </c>
      <c r="H1071" s="76" t="s">
        <v>1488</v>
      </c>
      <c r="I1071" s="76" t="s">
        <v>686</v>
      </c>
      <c r="J1071" s="76"/>
      <c r="K1071" s="76"/>
      <c r="L1071" s="76"/>
      <c r="M1071" s="76"/>
      <c r="N1071" s="76"/>
    </row>
    <row r="1072" spans="2:14" hidden="1">
      <c r="B1072" s="76"/>
      <c r="C1072" s="76"/>
      <c r="D1072" s="76" t="s">
        <v>1475</v>
      </c>
      <c r="E1072" s="76" t="s">
        <v>1876</v>
      </c>
      <c r="F1072" s="76"/>
      <c r="G1072" s="76" t="s">
        <v>267</v>
      </c>
      <c r="H1072" s="76" t="s">
        <v>1525</v>
      </c>
      <c r="I1072" s="76" t="s">
        <v>687</v>
      </c>
      <c r="J1072" s="76"/>
      <c r="K1072" s="76"/>
      <c r="L1072" s="76"/>
      <c r="M1072" s="76"/>
      <c r="N1072" s="76"/>
    </row>
    <row r="1073" spans="2:14" hidden="1">
      <c r="B1073" s="76"/>
      <c r="C1073" s="76"/>
      <c r="D1073" s="76" t="s">
        <v>1528</v>
      </c>
      <c r="E1073" s="76" t="s">
        <v>1929</v>
      </c>
      <c r="F1073" s="76"/>
      <c r="G1073" s="76" t="s">
        <v>302</v>
      </c>
      <c r="H1073" s="76" t="s">
        <v>1470</v>
      </c>
      <c r="I1073" s="76" t="s">
        <v>43</v>
      </c>
      <c r="J1073" s="76"/>
      <c r="K1073" s="76"/>
      <c r="L1073" s="76"/>
      <c r="M1073" s="76"/>
      <c r="N1073" s="76"/>
    </row>
    <row r="1074" spans="2:14" hidden="1">
      <c r="B1074" s="76"/>
      <c r="C1074" s="76"/>
      <c r="D1074" s="76" t="s">
        <v>1483</v>
      </c>
      <c r="E1074" s="76" t="s">
        <v>1884</v>
      </c>
      <c r="F1074" s="76"/>
      <c r="G1074" s="76" t="s">
        <v>1755</v>
      </c>
      <c r="H1074" s="76" t="s">
        <v>1474</v>
      </c>
      <c r="I1074" s="76" t="s">
        <v>1755</v>
      </c>
      <c r="J1074" s="76"/>
      <c r="K1074" s="76"/>
      <c r="L1074" s="76"/>
      <c r="M1074" s="76"/>
      <c r="N1074" s="76"/>
    </row>
    <row r="1075" spans="2:14" hidden="1">
      <c r="B1075" s="76"/>
      <c r="C1075" s="76"/>
      <c r="D1075" s="76" t="s">
        <v>1486</v>
      </c>
      <c r="E1075" s="76" t="s">
        <v>1887</v>
      </c>
      <c r="F1075" s="76"/>
      <c r="G1075" s="76" t="s">
        <v>689</v>
      </c>
      <c r="H1075" s="76" t="s">
        <v>1542</v>
      </c>
      <c r="I1075" s="76" t="s">
        <v>689</v>
      </c>
      <c r="J1075" s="76"/>
      <c r="K1075" s="76"/>
      <c r="L1075" s="76"/>
      <c r="M1075" s="76"/>
      <c r="N1075" s="76"/>
    </row>
    <row r="1076" spans="2:14" hidden="1">
      <c r="B1076" s="76"/>
      <c r="C1076" s="76"/>
      <c r="D1076" s="76" t="s">
        <v>1487</v>
      </c>
      <c r="E1076" s="76" t="s">
        <v>1888</v>
      </c>
      <c r="F1076" s="76"/>
      <c r="G1076" s="76" t="s">
        <v>690</v>
      </c>
      <c r="H1076" s="76" t="s">
        <v>1542</v>
      </c>
      <c r="I1076" s="76" t="s">
        <v>689</v>
      </c>
      <c r="J1076" s="76"/>
      <c r="K1076" s="76"/>
      <c r="L1076" s="76"/>
      <c r="M1076" s="76"/>
      <c r="N1076" s="76"/>
    </row>
    <row r="1077" spans="2:14" hidden="1">
      <c r="B1077" s="76"/>
      <c r="C1077" s="76"/>
      <c r="D1077" s="76" t="s">
        <v>1491</v>
      </c>
      <c r="E1077" s="76" t="s">
        <v>1892</v>
      </c>
      <c r="F1077" s="76"/>
      <c r="G1077" s="76" t="s">
        <v>50</v>
      </c>
      <c r="H1077" s="76" t="s">
        <v>2074</v>
      </c>
      <c r="I1077" s="76" t="s">
        <v>50</v>
      </c>
      <c r="J1077" s="76"/>
      <c r="K1077" s="76"/>
      <c r="L1077" s="76"/>
      <c r="M1077" s="76"/>
      <c r="N1077" s="76"/>
    </row>
    <row r="1078" spans="2:14" hidden="1">
      <c r="B1078" s="76"/>
      <c r="C1078" s="76"/>
      <c r="D1078" s="76" t="s">
        <v>1489</v>
      </c>
      <c r="E1078" s="76" t="s">
        <v>1890</v>
      </c>
      <c r="F1078" s="76"/>
      <c r="G1078" s="76" t="s">
        <v>1343</v>
      </c>
      <c r="H1078" s="76" t="s">
        <v>1542</v>
      </c>
      <c r="I1078" s="76" t="s">
        <v>1343</v>
      </c>
      <c r="J1078" s="76"/>
      <c r="K1078" s="76"/>
      <c r="L1078" s="76"/>
      <c r="M1078" s="76"/>
      <c r="N1078" s="76"/>
    </row>
    <row r="1079" spans="2:14" hidden="1">
      <c r="B1079" s="76"/>
      <c r="C1079" s="76"/>
      <c r="D1079" s="76" t="s">
        <v>1490</v>
      </c>
      <c r="E1079" s="76" t="s">
        <v>1891</v>
      </c>
      <c r="F1079" s="76"/>
      <c r="G1079" s="76" t="s">
        <v>691</v>
      </c>
      <c r="H1079" s="76" t="s">
        <v>1542</v>
      </c>
      <c r="I1079" s="76" t="s">
        <v>1343</v>
      </c>
      <c r="J1079" s="76"/>
      <c r="K1079" s="76"/>
      <c r="L1079" s="76"/>
      <c r="M1079" s="76"/>
      <c r="N1079" s="76"/>
    </row>
    <row r="1080" spans="2:14" hidden="1">
      <c r="B1080" s="76"/>
      <c r="C1080" s="76"/>
      <c r="D1080" s="76" t="s">
        <v>1492</v>
      </c>
      <c r="E1080" s="76" t="s">
        <v>1893</v>
      </c>
      <c r="F1080" s="76"/>
      <c r="G1080" s="76" t="s">
        <v>692</v>
      </c>
      <c r="H1080" s="76" t="s">
        <v>1474</v>
      </c>
      <c r="I1080" s="76" t="s">
        <v>1298</v>
      </c>
      <c r="J1080" s="76"/>
      <c r="K1080" s="76"/>
      <c r="L1080" s="76"/>
      <c r="M1080" s="76"/>
      <c r="N1080" s="76"/>
    </row>
    <row r="1081" spans="2:14" hidden="1">
      <c r="B1081" s="76"/>
      <c r="C1081" s="76"/>
      <c r="D1081" s="76" t="s">
        <v>2070</v>
      </c>
      <c r="E1081" s="76" t="s">
        <v>1404</v>
      </c>
      <c r="F1081" s="76"/>
      <c r="G1081" s="76" t="s">
        <v>1298</v>
      </c>
      <c r="H1081" s="76" t="s">
        <v>1474</v>
      </c>
      <c r="I1081" s="76" t="s">
        <v>1298</v>
      </c>
      <c r="J1081" s="76"/>
      <c r="K1081" s="76"/>
      <c r="L1081" s="76"/>
      <c r="M1081" s="76"/>
      <c r="N1081" s="76"/>
    </row>
    <row r="1082" spans="2:14" hidden="1">
      <c r="B1082" s="76"/>
      <c r="C1082" s="76"/>
      <c r="D1082" s="76" t="s">
        <v>1494</v>
      </c>
      <c r="E1082" s="76" t="s">
        <v>1895</v>
      </c>
      <c r="F1082" s="76"/>
      <c r="G1082" s="76" t="s">
        <v>269</v>
      </c>
      <c r="H1082" s="76" t="s">
        <v>1470</v>
      </c>
      <c r="I1082" s="76" t="s">
        <v>693</v>
      </c>
      <c r="J1082" s="76"/>
      <c r="K1082" s="76"/>
      <c r="L1082" s="76"/>
      <c r="M1082" s="76"/>
      <c r="N1082" s="76"/>
    </row>
    <row r="1083" spans="2:14" hidden="1">
      <c r="B1083" s="76"/>
      <c r="C1083" s="76"/>
      <c r="D1083" s="76" t="s">
        <v>1495</v>
      </c>
      <c r="E1083" s="76" t="s">
        <v>1896</v>
      </c>
      <c r="F1083" s="76"/>
      <c r="G1083" s="76" t="s">
        <v>271</v>
      </c>
      <c r="H1083" s="76" t="s">
        <v>2082</v>
      </c>
      <c r="I1083" s="76" t="s">
        <v>1749</v>
      </c>
      <c r="J1083" s="76"/>
      <c r="K1083" s="76"/>
      <c r="L1083" s="76"/>
      <c r="M1083" s="76"/>
      <c r="N1083" s="76"/>
    </row>
    <row r="1084" spans="2:14" hidden="1">
      <c r="B1084" s="76"/>
      <c r="C1084" s="76"/>
      <c r="D1084" s="76" t="s">
        <v>2051</v>
      </c>
      <c r="E1084" s="76" t="s">
        <v>2025</v>
      </c>
      <c r="F1084" s="76"/>
      <c r="G1084" s="76" t="s">
        <v>268</v>
      </c>
      <c r="H1084" s="76" t="s">
        <v>1470</v>
      </c>
      <c r="I1084" s="76" t="s">
        <v>693</v>
      </c>
      <c r="J1084" s="76"/>
      <c r="K1084" s="76"/>
      <c r="L1084" s="76"/>
      <c r="M1084" s="76"/>
      <c r="N1084" s="76"/>
    </row>
    <row r="1085" spans="2:14" hidden="1">
      <c r="B1085" s="76"/>
      <c r="C1085" s="76"/>
      <c r="D1085" s="76" t="s">
        <v>1517</v>
      </c>
      <c r="E1085" s="76" t="s">
        <v>1918</v>
      </c>
      <c r="F1085" s="76"/>
      <c r="G1085" s="76" t="s">
        <v>1749</v>
      </c>
      <c r="H1085" s="76" t="s">
        <v>2082</v>
      </c>
      <c r="I1085" s="76" t="s">
        <v>1749</v>
      </c>
      <c r="J1085" s="76"/>
      <c r="K1085" s="76"/>
      <c r="L1085" s="76"/>
      <c r="M1085" s="76"/>
      <c r="N1085" s="76"/>
    </row>
    <row r="1086" spans="2:14" hidden="1">
      <c r="B1086" s="76"/>
      <c r="C1086" s="76"/>
      <c r="D1086" s="76" t="s">
        <v>1496</v>
      </c>
      <c r="E1086" s="76" t="s">
        <v>1897</v>
      </c>
      <c r="F1086" s="76"/>
      <c r="G1086" s="76" t="s">
        <v>693</v>
      </c>
      <c r="H1086" s="76" t="s">
        <v>1470</v>
      </c>
      <c r="I1086" s="76" t="s">
        <v>693</v>
      </c>
      <c r="J1086" s="76"/>
      <c r="K1086" s="76"/>
      <c r="L1086" s="76"/>
      <c r="M1086" s="76"/>
      <c r="N1086" s="76"/>
    </row>
    <row r="1087" spans="2:14" hidden="1">
      <c r="B1087" s="76"/>
      <c r="C1087" s="76"/>
      <c r="D1087" s="76" t="s">
        <v>1499</v>
      </c>
      <c r="E1087" s="76" t="s">
        <v>1900</v>
      </c>
      <c r="F1087" s="76"/>
      <c r="G1087" s="76" t="s">
        <v>270</v>
      </c>
      <c r="H1087" s="76" t="s">
        <v>2082</v>
      </c>
      <c r="I1087" s="76" t="s">
        <v>1749</v>
      </c>
      <c r="J1087" s="76"/>
      <c r="K1087" s="76"/>
      <c r="L1087" s="76"/>
      <c r="M1087" s="76"/>
      <c r="N1087" s="76"/>
    </row>
    <row r="1088" spans="2:14" hidden="1">
      <c r="B1088" s="76"/>
      <c r="C1088" s="76"/>
      <c r="D1088" s="76" t="s">
        <v>1500</v>
      </c>
      <c r="E1088" s="76" t="s">
        <v>1901</v>
      </c>
      <c r="F1088" s="76"/>
      <c r="G1088" s="76" t="s">
        <v>272</v>
      </c>
      <c r="H1088" s="76" t="s">
        <v>2082</v>
      </c>
      <c r="I1088" s="76" t="s">
        <v>1749</v>
      </c>
      <c r="J1088" s="76"/>
      <c r="K1088" s="76"/>
      <c r="L1088" s="76"/>
      <c r="M1088" s="76"/>
      <c r="N1088" s="76"/>
    </row>
    <row r="1089" spans="2:14" hidden="1">
      <c r="B1089" s="76"/>
      <c r="C1089" s="76"/>
      <c r="D1089" s="76" t="s">
        <v>1503</v>
      </c>
      <c r="E1089" s="76" t="s">
        <v>1904</v>
      </c>
      <c r="F1089" s="76"/>
      <c r="G1089" s="76" t="s">
        <v>1344</v>
      </c>
      <c r="H1089" s="76" t="s">
        <v>2040</v>
      </c>
      <c r="I1089" s="76" t="s">
        <v>1344</v>
      </c>
      <c r="J1089" s="76"/>
      <c r="K1089" s="76"/>
      <c r="L1089" s="76"/>
      <c r="M1089" s="76"/>
      <c r="N1089" s="76"/>
    </row>
    <row r="1090" spans="2:14" hidden="1">
      <c r="B1090" s="76"/>
      <c r="C1090" s="76"/>
      <c r="D1090" s="76" t="s">
        <v>1505</v>
      </c>
      <c r="E1090" s="76" t="s">
        <v>1906</v>
      </c>
      <c r="F1090" s="76"/>
      <c r="G1090" s="76" t="s">
        <v>1345</v>
      </c>
      <c r="H1090" s="76" t="s">
        <v>2040</v>
      </c>
      <c r="I1090" s="76" t="s">
        <v>1345</v>
      </c>
      <c r="J1090" s="76"/>
      <c r="K1090" s="76"/>
      <c r="L1090" s="76"/>
      <c r="M1090" s="76"/>
      <c r="N1090" s="76"/>
    </row>
    <row r="1091" spans="2:14" hidden="1">
      <c r="B1091" s="76"/>
      <c r="C1091" s="76"/>
      <c r="D1091" s="76" t="s">
        <v>1502</v>
      </c>
      <c r="E1091" s="76" t="s">
        <v>1903</v>
      </c>
      <c r="F1091" s="76"/>
      <c r="G1091" s="107" t="s">
        <v>695</v>
      </c>
      <c r="H1091" s="76" t="s">
        <v>1542</v>
      </c>
      <c r="I1091" s="76" t="s">
        <v>695</v>
      </c>
      <c r="J1091" s="76"/>
      <c r="K1091" s="76"/>
      <c r="L1091" s="76"/>
      <c r="M1091" s="76"/>
      <c r="N1091" s="76"/>
    </row>
    <row r="1092" spans="2:14" hidden="1">
      <c r="B1092" s="76"/>
      <c r="C1092" s="76"/>
      <c r="D1092" s="76" t="s">
        <v>1501</v>
      </c>
      <c r="E1092" s="76" t="s">
        <v>1902</v>
      </c>
      <c r="F1092" s="76"/>
      <c r="G1092" s="76" t="s">
        <v>273</v>
      </c>
      <c r="H1092" s="76" t="s">
        <v>1542</v>
      </c>
      <c r="I1092" s="76" t="s">
        <v>695</v>
      </c>
      <c r="J1092" s="76"/>
      <c r="K1092" s="76"/>
      <c r="L1092" s="76"/>
      <c r="M1092" s="76"/>
      <c r="N1092" s="76"/>
    </row>
    <row r="1093" spans="2:14" hidden="1">
      <c r="B1093" s="76"/>
      <c r="C1093" s="76"/>
      <c r="D1093" s="76" t="s">
        <v>1504</v>
      </c>
      <c r="E1093" s="76" t="s">
        <v>1905</v>
      </c>
      <c r="F1093" s="76"/>
      <c r="G1093" s="76" t="s">
        <v>1346</v>
      </c>
      <c r="H1093" s="76" t="s">
        <v>1543</v>
      </c>
      <c r="I1093" s="76" t="s">
        <v>1346</v>
      </c>
      <c r="J1093" s="76"/>
      <c r="K1093" s="76"/>
      <c r="L1093" s="76"/>
      <c r="M1093" s="76"/>
      <c r="N1093" s="76"/>
    </row>
    <row r="1094" spans="2:14" hidden="1">
      <c r="B1094" s="76"/>
      <c r="C1094" s="76"/>
      <c r="D1094" s="76" t="s">
        <v>1507</v>
      </c>
      <c r="E1094" s="76" t="s">
        <v>1908</v>
      </c>
      <c r="F1094" s="76"/>
      <c r="G1094" s="76" t="s">
        <v>1299</v>
      </c>
      <c r="H1094" s="76" t="s">
        <v>1545</v>
      </c>
      <c r="I1094" s="76" t="s">
        <v>1299</v>
      </c>
      <c r="J1094" s="76"/>
      <c r="K1094" s="76"/>
      <c r="L1094" s="76"/>
      <c r="M1094" s="76"/>
      <c r="N1094" s="76"/>
    </row>
    <row r="1095" spans="2:14" hidden="1">
      <c r="B1095" s="76"/>
      <c r="C1095" s="76"/>
      <c r="D1095" s="76" t="s">
        <v>1522</v>
      </c>
      <c r="E1095" s="76" t="s">
        <v>1923</v>
      </c>
      <c r="F1095" s="76"/>
      <c r="G1095" s="76" t="s">
        <v>696</v>
      </c>
      <c r="H1095" s="76" t="s">
        <v>2042</v>
      </c>
      <c r="I1095" s="76" t="s">
        <v>1347</v>
      </c>
      <c r="J1095" s="76"/>
      <c r="K1095" s="76"/>
      <c r="L1095" s="76"/>
      <c r="M1095" s="76"/>
      <c r="N1095" s="76"/>
    </row>
    <row r="1096" spans="2:14" hidden="1">
      <c r="B1096" s="76"/>
      <c r="C1096" s="76"/>
      <c r="D1096" s="76" t="s">
        <v>2036</v>
      </c>
      <c r="E1096" s="76" t="s">
        <v>2010</v>
      </c>
      <c r="F1096" s="76"/>
      <c r="G1096" s="76" t="s">
        <v>1347</v>
      </c>
      <c r="H1096" s="76" t="s">
        <v>2042</v>
      </c>
      <c r="I1096" s="76" t="s">
        <v>1347</v>
      </c>
      <c r="J1096" s="76"/>
      <c r="K1096" s="76"/>
      <c r="L1096" s="76"/>
      <c r="M1096" s="76"/>
      <c r="N1096" s="76"/>
    </row>
    <row r="1097" spans="2:14" hidden="1">
      <c r="B1097" s="76"/>
      <c r="C1097" s="76"/>
      <c r="D1097" s="76" t="s">
        <v>1445</v>
      </c>
      <c r="E1097" s="76" t="s">
        <v>1846</v>
      </c>
      <c r="F1097" s="76"/>
      <c r="G1097" s="76" t="s">
        <v>1348</v>
      </c>
      <c r="H1097" s="76" t="s">
        <v>1549</v>
      </c>
      <c r="I1097" s="76" t="s">
        <v>697</v>
      </c>
      <c r="J1097" s="76"/>
      <c r="K1097" s="76"/>
      <c r="L1097" s="76"/>
      <c r="M1097" s="76"/>
      <c r="N1097" s="76"/>
    </row>
    <row r="1098" spans="2:14" hidden="1">
      <c r="B1098" s="76"/>
      <c r="C1098" s="76"/>
      <c r="D1098" s="76" t="s">
        <v>1508</v>
      </c>
      <c r="E1098" s="76" t="s">
        <v>1909</v>
      </c>
      <c r="F1098" s="76"/>
      <c r="G1098" s="76" t="s">
        <v>697</v>
      </c>
      <c r="H1098" s="76" t="s">
        <v>1549</v>
      </c>
      <c r="I1098" s="76" t="s">
        <v>697</v>
      </c>
      <c r="J1098" s="76"/>
      <c r="K1098" s="76"/>
      <c r="L1098" s="76"/>
      <c r="M1098" s="76"/>
      <c r="N1098" s="76"/>
    </row>
    <row r="1099" spans="2:14" hidden="1">
      <c r="B1099" s="76"/>
      <c r="C1099" s="76"/>
      <c r="D1099" s="76" t="s">
        <v>1515</v>
      </c>
      <c r="E1099" s="76" t="s">
        <v>1916</v>
      </c>
      <c r="F1099" s="76"/>
      <c r="G1099" s="76" t="s">
        <v>1349</v>
      </c>
      <c r="H1099" s="76" t="s">
        <v>2082</v>
      </c>
      <c r="I1099" s="76" t="s">
        <v>1349</v>
      </c>
      <c r="J1099" s="76"/>
      <c r="K1099" s="76"/>
      <c r="L1099" s="76"/>
      <c r="M1099" s="76"/>
      <c r="N1099" s="76"/>
    </row>
    <row r="1100" spans="2:14" hidden="1">
      <c r="B1100" s="76"/>
      <c r="C1100" s="76"/>
      <c r="D1100" s="76" t="s">
        <v>1510</v>
      </c>
      <c r="E1100" s="76" t="s">
        <v>1911</v>
      </c>
      <c r="F1100" s="76"/>
      <c r="G1100" s="76" t="s">
        <v>698</v>
      </c>
      <c r="H1100" s="76" t="s">
        <v>2082</v>
      </c>
      <c r="I1100" s="76" t="s">
        <v>1349</v>
      </c>
      <c r="J1100" s="76"/>
      <c r="K1100" s="76"/>
      <c r="L1100" s="76"/>
      <c r="M1100" s="76"/>
      <c r="N1100" s="76"/>
    </row>
    <row r="1101" spans="2:14" hidden="1">
      <c r="B1101" s="76"/>
      <c r="C1101" s="76"/>
      <c r="D1101" s="76" t="s">
        <v>1488</v>
      </c>
      <c r="E1101" s="76" t="s">
        <v>1889</v>
      </c>
      <c r="F1101" s="76"/>
      <c r="G1101" s="76" t="s">
        <v>699</v>
      </c>
      <c r="H1101" s="76" t="s">
        <v>1542</v>
      </c>
      <c r="I1101" s="76" t="s">
        <v>699</v>
      </c>
      <c r="J1101" s="76"/>
      <c r="K1101" s="76"/>
      <c r="L1101" s="76"/>
      <c r="M1101" s="76"/>
      <c r="N1101" s="76"/>
    </row>
    <row r="1102" spans="2:14" hidden="1">
      <c r="B1102" s="76"/>
      <c r="C1102" s="76"/>
      <c r="D1102" s="76" t="s">
        <v>1511</v>
      </c>
      <c r="E1102" s="76" t="s">
        <v>1912</v>
      </c>
      <c r="F1102" s="76"/>
      <c r="G1102" s="76" t="s">
        <v>275</v>
      </c>
      <c r="H1102" s="76" t="s">
        <v>1525</v>
      </c>
      <c r="I1102" s="76" t="s">
        <v>701</v>
      </c>
      <c r="J1102" s="76"/>
      <c r="K1102" s="76"/>
      <c r="L1102" s="76"/>
      <c r="M1102" s="76"/>
      <c r="N1102" s="76"/>
    </row>
    <row r="1103" spans="2:14" hidden="1">
      <c r="B1103" s="76"/>
      <c r="C1103" s="76"/>
      <c r="D1103" s="76" t="s">
        <v>1512</v>
      </c>
      <c r="E1103" s="76" t="s">
        <v>1913</v>
      </c>
      <c r="F1103" s="76"/>
      <c r="G1103" s="76" t="s">
        <v>188</v>
      </c>
      <c r="H1103" s="76" t="s">
        <v>1472</v>
      </c>
      <c r="I1103" s="76" t="s">
        <v>700</v>
      </c>
      <c r="J1103" s="76"/>
      <c r="K1103" s="76"/>
      <c r="L1103" s="76"/>
      <c r="M1103" s="76"/>
      <c r="N1103" s="76"/>
    </row>
    <row r="1104" spans="2:14" hidden="1">
      <c r="B1104" s="76"/>
      <c r="C1104" s="76"/>
      <c r="D1104" s="76" t="s">
        <v>1518</v>
      </c>
      <c r="E1104" s="76" t="s">
        <v>1919</v>
      </c>
      <c r="F1104" s="76"/>
      <c r="G1104" s="76" t="s">
        <v>701</v>
      </c>
      <c r="H1104" s="76" t="s">
        <v>1525</v>
      </c>
      <c r="I1104" s="76" t="s">
        <v>701</v>
      </c>
      <c r="J1104" s="76"/>
      <c r="K1104" s="76"/>
      <c r="L1104" s="76"/>
      <c r="M1104" s="76"/>
      <c r="N1104" s="76"/>
    </row>
    <row r="1105" spans="2:14" hidden="1">
      <c r="B1105" s="76"/>
      <c r="C1105" s="76"/>
      <c r="D1105" s="76" t="s">
        <v>1520</v>
      </c>
      <c r="E1105" s="76" t="s">
        <v>1921</v>
      </c>
      <c r="F1105" s="76"/>
      <c r="G1105" s="76" t="s">
        <v>700</v>
      </c>
      <c r="H1105" s="76" t="s">
        <v>1472</v>
      </c>
      <c r="I1105" s="76" t="s">
        <v>700</v>
      </c>
      <c r="J1105" s="76"/>
      <c r="K1105" s="76"/>
      <c r="L1105" s="76"/>
      <c r="M1105" s="76"/>
      <c r="N1105" s="76"/>
    </row>
    <row r="1106" spans="2:14" hidden="1">
      <c r="B1106" s="76"/>
      <c r="C1106" s="76"/>
      <c r="D1106" s="76" t="s">
        <v>1519</v>
      </c>
      <c r="E1106" s="76" t="s">
        <v>1920</v>
      </c>
      <c r="F1106" s="76"/>
      <c r="G1106" s="76" t="s">
        <v>702</v>
      </c>
      <c r="H1106" s="76" t="s">
        <v>2082</v>
      </c>
      <c r="I1106" s="76" t="s">
        <v>702</v>
      </c>
      <c r="J1106" s="76"/>
      <c r="K1106" s="76"/>
      <c r="L1106" s="76"/>
      <c r="M1106" s="76"/>
      <c r="N1106" s="76"/>
    </row>
    <row r="1107" spans="2:14" hidden="1">
      <c r="B1107" s="76"/>
      <c r="C1107" s="76"/>
      <c r="D1107" s="76" t="s">
        <v>1514</v>
      </c>
      <c r="E1107" s="76" t="s">
        <v>1915</v>
      </c>
      <c r="F1107" s="76"/>
      <c r="G1107" s="76" t="s">
        <v>703</v>
      </c>
      <c r="H1107" s="76" t="s">
        <v>1568</v>
      </c>
      <c r="I1107" s="76" t="s">
        <v>703</v>
      </c>
      <c r="J1107" s="76"/>
      <c r="K1107" s="76"/>
      <c r="L1107" s="76"/>
      <c r="M1107" s="76"/>
      <c r="N1107" s="76"/>
    </row>
    <row r="1108" spans="2:14" hidden="1">
      <c r="B1108" s="76"/>
      <c r="C1108" s="76"/>
      <c r="D1108" s="76" t="s">
        <v>1523</v>
      </c>
      <c r="E1108" s="76" t="s">
        <v>1924</v>
      </c>
      <c r="F1108" s="76"/>
      <c r="G1108" s="76" t="s">
        <v>1350</v>
      </c>
      <c r="H1108" s="76" t="s">
        <v>1542</v>
      </c>
      <c r="I1108" s="76" t="s">
        <v>1350</v>
      </c>
      <c r="J1108" s="76"/>
      <c r="K1108" s="76"/>
      <c r="L1108" s="76"/>
      <c r="M1108" s="76"/>
      <c r="N1108" s="76"/>
    </row>
    <row r="1109" spans="2:14" hidden="1">
      <c r="B1109" s="76"/>
      <c r="C1109" s="76"/>
      <c r="D1109" s="76" t="s">
        <v>1521</v>
      </c>
      <c r="E1109" s="76" t="s">
        <v>1922</v>
      </c>
      <c r="F1109" s="76"/>
      <c r="G1109" s="76" t="s">
        <v>1306</v>
      </c>
      <c r="H1109" s="76" t="s">
        <v>1542</v>
      </c>
      <c r="I1109" s="76" t="s">
        <v>704</v>
      </c>
      <c r="J1109" s="76"/>
      <c r="K1109" s="76"/>
      <c r="L1109" s="76"/>
      <c r="M1109" s="76"/>
      <c r="N1109" s="76"/>
    </row>
    <row r="1110" spans="2:14" hidden="1">
      <c r="B1110" s="76"/>
      <c r="C1110" s="76"/>
      <c r="D1110" s="76" t="s">
        <v>1513</v>
      </c>
      <c r="E1110" s="76" t="s">
        <v>1914</v>
      </c>
      <c r="F1110" s="76"/>
      <c r="G1110" s="76" t="s">
        <v>704</v>
      </c>
      <c r="H1110" s="76" t="s">
        <v>1542</v>
      </c>
      <c r="I1110" s="76" t="s">
        <v>704</v>
      </c>
      <c r="J1110" s="76"/>
      <c r="K1110" s="76"/>
      <c r="L1110" s="76"/>
      <c r="M1110" s="76"/>
      <c r="N1110" s="76"/>
    </row>
    <row r="1111" spans="2:14" hidden="1">
      <c r="B1111" s="76"/>
      <c r="C1111" s="76"/>
      <c r="D1111" s="76" t="s">
        <v>1516</v>
      </c>
      <c r="E1111" s="76" t="s">
        <v>1917</v>
      </c>
      <c r="F1111" s="76"/>
      <c r="G1111" s="76" t="s">
        <v>1351</v>
      </c>
      <c r="H1111" s="76" t="s">
        <v>2040</v>
      </c>
      <c r="I1111" s="76" t="s">
        <v>1351</v>
      </c>
      <c r="J1111" s="76"/>
      <c r="K1111" s="76"/>
      <c r="L1111" s="76"/>
      <c r="M1111" s="76"/>
      <c r="N1111" s="76"/>
    </row>
    <row r="1112" spans="2:14" hidden="1">
      <c r="B1112" s="76"/>
      <c r="C1112" s="76"/>
      <c r="D1112" s="76" t="s">
        <v>1524</v>
      </c>
      <c r="E1112" s="76" t="s">
        <v>1925</v>
      </c>
      <c r="F1112" s="76"/>
      <c r="G1112" s="76" t="s">
        <v>51</v>
      </c>
      <c r="H1112" s="76" t="s">
        <v>2074</v>
      </c>
      <c r="I1112" s="76" t="s">
        <v>51</v>
      </c>
      <c r="J1112" s="76"/>
      <c r="K1112" s="76"/>
      <c r="L1112" s="76"/>
      <c r="M1112" s="76"/>
      <c r="N1112" s="76"/>
    </row>
    <row r="1113" spans="2:14" hidden="1">
      <c r="B1113" s="76"/>
      <c r="C1113" s="76"/>
      <c r="D1113" s="76" t="s">
        <v>1529</v>
      </c>
      <c r="E1113" s="76" t="s">
        <v>1930</v>
      </c>
      <c r="F1113" s="76"/>
      <c r="G1113" s="76" t="s">
        <v>1352</v>
      </c>
      <c r="H1113" s="76" t="s">
        <v>2083</v>
      </c>
      <c r="I1113" s="76" t="s">
        <v>705</v>
      </c>
      <c r="J1113" s="76"/>
      <c r="K1113" s="76"/>
      <c r="L1113" s="76"/>
      <c r="M1113" s="76"/>
      <c r="N1113" s="76"/>
    </row>
    <row r="1114" spans="2:14" hidden="1">
      <c r="B1114" s="76"/>
      <c r="C1114" s="76"/>
      <c r="D1114" s="76" t="s">
        <v>1526</v>
      </c>
      <c r="E1114" s="76" t="s">
        <v>1927</v>
      </c>
      <c r="F1114" s="76"/>
      <c r="G1114" s="76" t="s">
        <v>705</v>
      </c>
      <c r="H1114" s="76" t="s">
        <v>2083</v>
      </c>
      <c r="I1114" s="76" t="s">
        <v>705</v>
      </c>
      <c r="J1114" s="76"/>
      <c r="K1114" s="76"/>
      <c r="L1114" s="76"/>
      <c r="M1114" s="76"/>
      <c r="N1114" s="76"/>
    </row>
    <row r="1115" spans="2:14" hidden="1">
      <c r="B1115" s="76"/>
      <c r="C1115" s="76"/>
      <c r="D1115" s="76" t="s">
        <v>1527</v>
      </c>
      <c r="E1115" s="76" t="s">
        <v>1928</v>
      </c>
      <c r="F1115" s="76"/>
      <c r="G1115" s="76" t="s">
        <v>274</v>
      </c>
      <c r="H1115" s="76" t="s">
        <v>1542</v>
      </c>
      <c r="I1115" s="76" t="s">
        <v>695</v>
      </c>
      <c r="J1115" s="76"/>
      <c r="K1115" s="76"/>
      <c r="L1115" s="76"/>
      <c r="M1115" s="76"/>
      <c r="N1115" s="76"/>
    </row>
    <row r="1116" spans="2:14" hidden="1">
      <c r="B1116" s="76"/>
      <c r="C1116" s="76"/>
      <c r="D1116" s="76" t="s">
        <v>1525</v>
      </c>
      <c r="E1116" s="76" t="s">
        <v>1926</v>
      </c>
      <c r="F1116" s="76"/>
      <c r="G1116" s="76" t="s">
        <v>276</v>
      </c>
      <c r="H1116" s="76" t="s">
        <v>2083</v>
      </c>
      <c r="I1116" s="76" t="s">
        <v>705</v>
      </c>
      <c r="J1116" s="76"/>
      <c r="K1116" s="76"/>
      <c r="L1116" s="76"/>
      <c r="M1116" s="76"/>
      <c r="N1116" s="76"/>
    </row>
    <row r="1117" spans="2:14" hidden="1">
      <c r="B1117" s="76"/>
      <c r="C1117" s="76"/>
      <c r="D1117" s="76" t="s">
        <v>1530</v>
      </c>
      <c r="E1117" s="76" t="s">
        <v>1931</v>
      </c>
      <c r="F1117" s="76"/>
      <c r="G1117" s="76" t="s">
        <v>254</v>
      </c>
      <c r="H1117" s="76" t="s">
        <v>1488</v>
      </c>
      <c r="I1117" s="76" t="s">
        <v>679</v>
      </c>
      <c r="J1117" s="76"/>
      <c r="K1117" s="76"/>
      <c r="L1117" s="76"/>
      <c r="M1117" s="76"/>
      <c r="N1117" s="76"/>
    </row>
    <row r="1118" spans="2:14" hidden="1">
      <c r="B1118" s="76"/>
      <c r="C1118" s="76"/>
      <c r="D1118" s="76" t="s">
        <v>1537</v>
      </c>
      <c r="E1118" s="76" t="s">
        <v>1938</v>
      </c>
      <c r="F1118" s="76"/>
      <c r="G1118" s="76" t="s">
        <v>1694</v>
      </c>
      <c r="H1118" s="76" t="s">
        <v>2040</v>
      </c>
      <c r="I1118" s="76" t="s">
        <v>1342</v>
      </c>
      <c r="J1118" s="76"/>
      <c r="K1118" s="76"/>
      <c r="L1118" s="76"/>
      <c r="M1118" s="76"/>
      <c r="N1118" s="76"/>
    </row>
    <row r="1119" spans="2:14" hidden="1">
      <c r="B1119" s="76"/>
      <c r="C1119" s="76"/>
      <c r="D1119" s="76" t="s">
        <v>1532</v>
      </c>
      <c r="E1119" s="76" t="s">
        <v>1933</v>
      </c>
      <c r="F1119" s="76"/>
      <c r="G1119" s="76" t="s">
        <v>21</v>
      </c>
      <c r="H1119" s="76" t="s">
        <v>2082</v>
      </c>
      <c r="I1119" s="76" t="s">
        <v>1353</v>
      </c>
      <c r="J1119" s="76"/>
      <c r="K1119" s="76"/>
      <c r="L1119" s="76"/>
      <c r="M1119" s="76"/>
      <c r="N1119" s="76"/>
    </row>
    <row r="1120" spans="2:14" hidden="1">
      <c r="B1120" s="76"/>
      <c r="C1120" s="76"/>
      <c r="D1120" s="76" t="s">
        <v>1531</v>
      </c>
      <c r="E1120" s="76" t="s">
        <v>1932</v>
      </c>
      <c r="F1120" s="76"/>
      <c r="G1120" s="76" t="s">
        <v>706</v>
      </c>
      <c r="H1120" s="76" t="s">
        <v>2040</v>
      </c>
      <c r="I1120" s="76" t="s">
        <v>706</v>
      </c>
      <c r="J1120" s="76"/>
      <c r="K1120" s="76"/>
      <c r="L1120" s="76"/>
      <c r="M1120" s="76"/>
      <c r="N1120" s="76"/>
    </row>
    <row r="1121" spans="2:14" hidden="1">
      <c r="B1121" s="76"/>
      <c r="C1121" s="76"/>
      <c r="D1121" s="76" t="s">
        <v>1535</v>
      </c>
      <c r="E1121" s="76" t="s">
        <v>1936</v>
      </c>
      <c r="F1121" s="76"/>
      <c r="G1121" s="76" t="s">
        <v>47</v>
      </c>
      <c r="H1121" s="76" t="s">
        <v>2040</v>
      </c>
      <c r="I1121" s="76" t="s">
        <v>47</v>
      </c>
      <c r="J1121" s="76"/>
      <c r="K1121" s="76"/>
      <c r="L1121" s="76"/>
      <c r="M1121" s="76"/>
      <c r="N1121" s="76"/>
    </row>
    <row r="1122" spans="2:14" hidden="1">
      <c r="B1122" s="76"/>
      <c r="C1122" s="76"/>
      <c r="D1122" s="76" t="s">
        <v>1536</v>
      </c>
      <c r="E1122" s="76" t="s">
        <v>1937</v>
      </c>
      <c r="F1122" s="76"/>
      <c r="G1122" s="76" t="s">
        <v>1354</v>
      </c>
      <c r="H1122" s="76" t="s">
        <v>1472</v>
      </c>
      <c r="I1122" s="76" t="s">
        <v>1354</v>
      </c>
      <c r="J1122" s="76"/>
      <c r="K1122" s="76"/>
      <c r="L1122" s="76"/>
      <c r="M1122" s="76"/>
      <c r="N1122" s="76"/>
    </row>
    <row r="1123" spans="2:14" hidden="1">
      <c r="B1123" s="76"/>
      <c r="C1123" s="76"/>
      <c r="D1123" s="76" t="s">
        <v>1534</v>
      </c>
      <c r="E1123" s="76" t="s">
        <v>1935</v>
      </c>
      <c r="F1123" s="76"/>
      <c r="G1123" s="76" t="s">
        <v>707</v>
      </c>
      <c r="H1123" s="76" t="s">
        <v>1472</v>
      </c>
      <c r="I1123" s="76" t="s">
        <v>1354</v>
      </c>
      <c r="J1123" s="76"/>
      <c r="K1123" s="76"/>
      <c r="L1123" s="76"/>
      <c r="M1123" s="76"/>
      <c r="N1123" s="76"/>
    </row>
    <row r="1124" spans="2:14" hidden="1">
      <c r="B1124" s="76"/>
      <c r="C1124" s="76"/>
      <c r="D1124" s="76" t="s">
        <v>1538</v>
      </c>
      <c r="E1124" s="76" t="s">
        <v>1939</v>
      </c>
      <c r="F1124" s="76"/>
      <c r="G1124" s="76" t="s">
        <v>1355</v>
      </c>
      <c r="H1124" s="76" t="s">
        <v>1447</v>
      </c>
      <c r="I1124" s="76" t="s">
        <v>1185</v>
      </c>
      <c r="J1124" s="76"/>
      <c r="K1124" s="76"/>
      <c r="L1124" s="76"/>
      <c r="M1124" s="76"/>
      <c r="N1124" s="76"/>
    </row>
    <row r="1125" spans="2:14" hidden="1">
      <c r="B1125" s="76"/>
      <c r="C1125" s="76"/>
      <c r="D1125" s="76" t="s">
        <v>1539</v>
      </c>
      <c r="E1125" s="76" t="s">
        <v>1940</v>
      </c>
      <c r="F1125" s="76"/>
      <c r="G1125" s="76" t="s">
        <v>709</v>
      </c>
      <c r="H1125" s="76" t="s">
        <v>2040</v>
      </c>
      <c r="I1125" s="76" t="s">
        <v>1356</v>
      </c>
      <c r="J1125" s="76"/>
      <c r="K1125" s="76"/>
      <c r="L1125" s="76"/>
      <c r="M1125" s="76"/>
      <c r="N1125" s="76"/>
    </row>
    <row r="1126" spans="2:14" hidden="1">
      <c r="B1126" s="76"/>
      <c r="C1126" s="76"/>
      <c r="D1126" s="76" t="s">
        <v>1540</v>
      </c>
      <c r="E1126" s="76" t="s">
        <v>1941</v>
      </c>
      <c r="F1126" s="76"/>
      <c r="G1126" s="76" t="s">
        <v>1356</v>
      </c>
      <c r="H1126" s="76" t="s">
        <v>2040</v>
      </c>
      <c r="I1126" s="76" t="s">
        <v>1356</v>
      </c>
      <c r="J1126" s="76"/>
      <c r="K1126" s="76"/>
      <c r="L1126" s="76"/>
      <c r="M1126" s="76"/>
      <c r="N1126" s="76"/>
    </row>
    <row r="1127" spans="2:14" hidden="1">
      <c r="B1127" s="76"/>
      <c r="C1127" s="76"/>
      <c r="D1127" s="76" t="s">
        <v>1542</v>
      </c>
      <c r="E1127" s="76" t="s">
        <v>1943</v>
      </c>
      <c r="F1127" s="76"/>
      <c r="G1127" s="76" t="s">
        <v>710</v>
      </c>
      <c r="H1127" s="76" t="s">
        <v>1531</v>
      </c>
      <c r="I1127" s="76" t="s">
        <v>710</v>
      </c>
      <c r="J1127" s="76"/>
      <c r="K1127" s="76"/>
      <c r="L1127" s="76"/>
      <c r="M1127" s="76"/>
      <c r="N1127" s="76"/>
    </row>
    <row r="1128" spans="2:14" hidden="1">
      <c r="B1128" s="76"/>
      <c r="C1128" s="76"/>
      <c r="D1128" s="76" t="s">
        <v>1541</v>
      </c>
      <c r="E1128" s="76" t="s">
        <v>1942</v>
      </c>
      <c r="F1128" s="76"/>
      <c r="G1128" s="76" t="s">
        <v>49</v>
      </c>
      <c r="H1128" s="76" t="s">
        <v>1472</v>
      </c>
      <c r="I1128" s="76" t="s">
        <v>48</v>
      </c>
      <c r="J1128" s="76"/>
      <c r="K1128" s="76"/>
      <c r="L1128" s="76"/>
      <c r="M1128" s="76"/>
      <c r="N1128" s="76"/>
    </row>
    <row r="1129" spans="2:14" hidden="1">
      <c r="B1129" s="76"/>
      <c r="C1129" s="76"/>
      <c r="D1129" s="76" t="s">
        <v>1543</v>
      </c>
      <c r="E1129" s="76" t="s">
        <v>1944</v>
      </c>
      <c r="F1129" s="76"/>
      <c r="G1129" s="76" t="s">
        <v>48</v>
      </c>
      <c r="H1129" s="76" t="s">
        <v>1472</v>
      </c>
      <c r="I1129" s="76" t="s">
        <v>48</v>
      </c>
      <c r="J1129" s="76"/>
      <c r="K1129" s="76"/>
      <c r="L1129" s="76"/>
      <c r="M1129" s="76"/>
      <c r="N1129" s="76"/>
    </row>
    <row r="1130" spans="2:14" hidden="1">
      <c r="B1130" s="76"/>
      <c r="C1130" s="76"/>
      <c r="D1130" s="76" t="s">
        <v>1544</v>
      </c>
      <c r="E1130" s="76" t="s">
        <v>1945</v>
      </c>
      <c r="F1130" s="76"/>
      <c r="G1130" s="76" t="s">
        <v>688</v>
      </c>
      <c r="H1130" s="76" t="s">
        <v>1474</v>
      </c>
      <c r="I1130" s="76" t="s">
        <v>1755</v>
      </c>
      <c r="J1130" s="76"/>
      <c r="K1130" s="76"/>
      <c r="L1130" s="76"/>
      <c r="M1130" s="76"/>
      <c r="N1130" s="76"/>
    </row>
    <row r="1131" spans="2:14" hidden="1">
      <c r="B1131" s="76"/>
      <c r="C1131" s="76"/>
      <c r="D1131" s="76" t="s">
        <v>1547</v>
      </c>
      <c r="E1131" s="76" t="s">
        <v>1948</v>
      </c>
      <c r="F1131" s="76"/>
      <c r="G1131" s="76" t="s">
        <v>279</v>
      </c>
      <c r="H1131" s="76" t="s">
        <v>2095</v>
      </c>
      <c r="I1131" s="76" t="s">
        <v>711</v>
      </c>
      <c r="J1131" s="76"/>
      <c r="K1131" s="76"/>
      <c r="L1131" s="76"/>
      <c r="M1131" s="76"/>
      <c r="N1131" s="76"/>
    </row>
    <row r="1132" spans="2:14" hidden="1">
      <c r="B1132" s="76"/>
      <c r="C1132" s="76"/>
      <c r="D1132" s="76" t="s">
        <v>2033</v>
      </c>
      <c r="E1132" s="76" t="s">
        <v>2007</v>
      </c>
      <c r="F1132" s="76"/>
      <c r="G1132" s="76" t="s">
        <v>711</v>
      </c>
      <c r="H1132" s="76" t="s">
        <v>2095</v>
      </c>
      <c r="I1132" s="76" t="s">
        <v>711</v>
      </c>
      <c r="J1132" s="76"/>
      <c r="K1132" s="76"/>
      <c r="L1132" s="76"/>
      <c r="M1132" s="76"/>
      <c r="N1132" s="76"/>
    </row>
    <row r="1133" spans="2:14" hidden="1">
      <c r="B1133" s="76"/>
      <c r="C1133" s="76"/>
      <c r="D1133" s="76" t="s">
        <v>1549</v>
      </c>
      <c r="E1133" s="76" t="s">
        <v>1950</v>
      </c>
      <c r="F1133" s="76"/>
      <c r="G1133" s="76" t="s">
        <v>1357</v>
      </c>
      <c r="H1133" s="76" t="s">
        <v>2095</v>
      </c>
      <c r="I1133" s="76" t="s">
        <v>711</v>
      </c>
      <c r="J1133" s="76"/>
      <c r="K1133" s="76"/>
      <c r="L1133" s="76"/>
      <c r="M1133" s="76"/>
      <c r="N1133" s="76"/>
    </row>
    <row r="1134" spans="2:14" hidden="1">
      <c r="B1134" s="76"/>
      <c r="C1134" s="76"/>
      <c r="D1134" s="76" t="s">
        <v>1550</v>
      </c>
      <c r="E1134" s="76" t="s">
        <v>1951</v>
      </c>
      <c r="F1134" s="76"/>
      <c r="G1134" s="76" t="s">
        <v>1358</v>
      </c>
      <c r="H1134" s="76" t="s">
        <v>1470</v>
      </c>
      <c r="I1134" s="76" t="s">
        <v>1358</v>
      </c>
      <c r="J1134" s="76"/>
      <c r="K1134" s="76"/>
      <c r="L1134" s="76"/>
      <c r="M1134" s="76"/>
      <c r="N1134" s="76"/>
    </row>
    <row r="1135" spans="2:14" hidden="1">
      <c r="B1135" s="76"/>
      <c r="C1135" s="76"/>
      <c r="D1135" s="76" t="s">
        <v>1545</v>
      </c>
      <c r="E1135" s="76" t="s">
        <v>1946</v>
      </c>
      <c r="F1135" s="76"/>
      <c r="G1135" s="76" t="s">
        <v>20</v>
      </c>
      <c r="H1135" s="76" t="s">
        <v>1542</v>
      </c>
      <c r="I1135" s="76" t="s">
        <v>695</v>
      </c>
      <c r="J1135" s="76"/>
      <c r="K1135" s="76"/>
      <c r="L1135" s="76"/>
      <c r="M1135" s="76"/>
      <c r="N1135" s="76"/>
    </row>
    <row r="1136" spans="2:14" hidden="1">
      <c r="B1136" s="76"/>
      <c r="C1136" s="76"/>
      <c r="D1136" s="76" t="s">
        <v>1551</v>
      </c>
      <c r="E1136" s="76" t="s">
        <v>1952</v>
      </c>
      <c r="F1136" s="76"/>
      <c r="G1136" s="76" t="s">
        <v>1359</v>
      </c>
      <c r="H1136" s="76" t="s">
        <v>1591</v>
      </c>
      <c r="I1136" s="76" t="s">
        <v>1359</v>
      </c>
      <c r="J1136" s="76"/>
      <c r="K1136" s="76"/>
      <c r="L1136" s="76"/>
      <c r="M1136" s="76"/>
      <c r="N1136" s="76"/>
    </row>
    <row r="1137" spans="2:14" hidden="1">
      <c r="B1137" s="76"/>
      <c r="C1137" s="76"/>
      <c r="D1137" s="76" t="s">
        <v>1561</v>
      </c>
      <c r="E1137" s="76" t="s">
        <v>1962</v>
      </c>
      <c r="F1137" s="76"/>
      <c r="G1137" s="76" t="s">
        <v>1360</v>
      </c>
      <c r="H1137" s="76" t="s">
        <v>1498</v>
      </c>
      <c r="I1137" s="76" t="s">
        <v>1360</v>
      </c>
      <c r="J1137" s="76"/>
      <c r="K1137" s="76"/>
      <c r="L1137" s="76"/>
      <c r="M1137" s="76"/>
      <c r="N1137" s="76"/>
    </row>
    <row r="1138" spans="2:14" hidden="1">
      <c r="B1138" s="76"/>
      <c r="C1138" s="76"/>
      <c r="D1138" s="76" t="s">
        <v>1552</v>
      </c>
      <c r="E1138" s="76" t="s">
        <v>1953</v>
      </c>
      <c r="F1138" s="76"/>
      <c r="G1138" s="76" t="s">
        <v>280</v>
      </c>
      <c r="H1138" s="76" t="s">
        <v>1474</v>
      </c>
      <c r="I1138" s="76" t="s">
        <v>714</v>
      </c>
      <c r="J1138" s="76"/>
      <c r="K1138" s="76"/>
      <c r="L1138" s="76"/>
      <c r="M1138" s="76"/>
      <c r="N1138" s="76"/>
    </row>
    <row r="1139" spans="2:14" hidden="1">
      <c r="B1139" s="76"/>
      <c r="C1139" s="76"/>
      <c r="D1139" s="76" t="s">
        <v>1558</v>
      </c>
      <c r="E1139" s="76" t="s">
        <v>1959</v>
      </c>
      <c r="F1139" s="76"/>
      <c r="G1139" s="76" t="s">
        <v>716</v>
      </c>
      <c r="H1139" s="76" t="s">
        <v>1474</v>
      </c>
      <c r="I1139" s="76" t="s">
        <v>716</v>
      </c>
      <c r="J1139" s="76"/>
      <c r="K1139" s="76"/>
      <c r="L1139" s="76"/>
      <c r="M1139" s="76"/>
      <c r="N1139" s="76"/>
    </row>
    <row r="1140" spans="2:14" hidden="1">
      <c r="B1140" s="76"/>
      <c r="C1140" s="76"/>
      <c r="D1140" s="76" t="s">
        <v>1553</v>
      </c>
      <c r="E1140" s="76" t="s">
        <v>1954</v>
      </c>
      <c r="F1140" s="76"/>
      <c r="G1140" s="76" t="s">
        <v>717</v>
      </c>
      <c r="H1140" s="76" t="s">
        <v>2040</v>
      </c>
      <c r="I1140" s="76" t="s">
        <v>1361</v>
      </c>
      <c r="J1140" s="76"/>
      <c r="K1140" s="76"/>
      <c r="L1140" s="76"/>
      <c r="M1140" s="76"/>
      <c r="N1140" s="76"/>
    </row>
    <row r="1141" spans="2:14" hidden="1">
      <c r="B1141" s="76"/>
      <c r="C1141" s="76"/>
      <c r="D1141" s="76" t="s">
        <v>1554</v>
      </c>
      <c r="E1141" s="76" t="s">
        <v>1955</v>
      </c>
      <c r="F1141" s="76"/>
      <c r="G1141" s="107" t="s">
        <v>282</v>
      </c>
      <c r="H1141" s="76" t="s">
        <v>1542</v>
      </c>
      <c r="I1141" s="76" t="s">
        <v>719</v>
      </c>
      <c r="J1141" s="76"/>
      <c r="K1141" s="76"/>
      <c r="L1141" s="76"/>
      <c r="M1141" s="76"/>
      <c r="N1141" s="76"/>
    </row>
    <row r="1142" spans="2:14" hidden="1">
      <c r="B1142" s="76"/>
      <c r="C1142" s="76"/>
      <c r="D1142" s="76" t="s">
        <v>1556</v>
      </c>
      <c r="E1142" s="76" t="s">
        <v>1957</v>
      </c>
      <c r="F1142" s="76"/>
      <c r="G1142" s="76" t="s">
        <v>1361</v>
      </c>
      <c r="H1142" s="76" t="s">
        <v>2040</v>
      </c>
      <c r="I1142" s="76" t="s">
        <v>1361</v>
      </c>
      <c r="J1142" s="76"/>
      <c r="K1142" s="76"/>
      <c r="L1142" s="76"/>
      <c r="M1142" s="76"/>
      <c r="N1142" s="76"/>
    </row>
    <row r="1143" spans="2:14" hidden="1">
      <c r="B1143" s="76"/>
      <c r="C1143" s="76"/>
      <c r="D1143" s="76" t="s">
        <v>1559</v>
      </c>
      <c r="E1143" s="76" t="s">
        <v>1960</v>
      </c>
      <c r="F1143" s="76"/>
      <c r="G1143" s="76" t="s">
        <v>718</v>
      </c>
      <c r="H1143" s="76" t="s">
        <v>2076</v>
      </c>
      <c r="I1143" s="76" t="s">
        <v>1362</v>
      </c>
      <c r="J1143" s="76"/>
      <c r="K1143" s="76"/>
      <c r="L1143" s="76"/>
      <c r="M1143" s="76"/>
      <c r="N1143" s="76"/>
    </row>
    <row r="1144" spans="2:14" hidden="1">
      <c r="B1144" s="76"/>
      <c r="C1144" s="76"/>
      <c r="D1144" s="76" t="s">
        <v>1560</v>
      </c>
      <c r="E1144" s="76" t="s">
        <v>1961</v>
      </c>
      <c r="F1144" s="76"/>
      <c r="G1144" s="76" t="s">
        <v>1362</v>
      </c>
      <c r="H1144" s="76" t="s">
        <v>2076</v>
      </c>
      <c r="I1144" s="76" t="s">
        <v>1362</v>
      </c>
      <c r="J1144" s="76"/>
      <c r="K1144" s="76"/>
      <c r="L1144" s="76"/>
      <c r="M1144" s="76"/>
      <c r="N1144" s="76"/>
    </row>
    <row r="1145" spans="2:14" hidden="1">
      <c r="B1145" s="76"/>
      <c r="C1145" s="76"/>
      <c r="D1145" s="76" t="s">
        <v>1562</v>
      </c>
      <c r="E1145" s="76" t="s">
        <v>1963</v>
      </c>
      <c r="F1145" s="76"/>
      <c r="G1145" s="76" t="s">
        <v>1363</v>
      </c>
      <c r="H1145" s="76" t="s">
        <v>1542</v>
      </c>
      <c r="I1145" s="76" t="s">
        <v>719</v>
      </c>
      <c r="J1145" s="76"/>
      <c r="K1145" s="76"/>
      <c r="L1145" s="76"/>
      <c r="M1145" s="76"/>
      <c r="N1145" s="76"/>
    </row>
    <row r="1146" spans="2:14" hidden="1">
      <c r="B1146" s="76"/>
      <c r="C1146" s="76"/>
      <c r="D1146" s="76" t="s">
        <v>1570</v>
      </c>
      <c r="E1146" s="76" t="s">
        <v>1971</v>
      </c>
      <c r="F1146" s="76"/>
      <c r="G1146" s="76" t="s">
        <v>719</v>
      </c>
      <c r="H1146" s="76" t="s">
        <v>1542</v>
      </c>
      <c r="I1146" s="76" t="s">
        <v>719</v>
      </c>
      <c r="J1146" s="76"/>
      <c r="K1146" s="76"/>
      <c r="L1146" s="76"/>
      <c r="M1146" s="76"/>
      <c r="N1146" s="76"/>
    </row>
    <row r="1147" spans="2:14" hidden="1">
      <c r="B1147" s="76"/>
      <c r="C1147" s="76"/>
      <c r="D1147" s="76" t="s">
        <v>1566</v>
      </c>
      <c r="E1147" s="76" t="s">
        <v>1967</v>
      </c>
      <c r="F1147" s="76"/>
      <c r="G1147" s="76" t="s">
        <v>1364</v>
      </c>
      <c r="H1147" s="76" t="s">
        <v>1542</v>
      </c>
      <c r="I1147" s="76" t="s">
        <v>721</v>
      </c>
      <c r="J1147" s="76"/>
      <c r="K1147" s="76"/>
      <c r="L1147" s="76"/>
      <c r="M1147" s="76"/>
      <c r="N1147" s="76"/>
    </row>
    <row r="1148" spans="2:14" hidden="1">
      <c r="B1148" s="76"/>
      <c r="C1148" s="76"/>
      <c r="D1148" s="76" t="s">
        <v>1581</v>
      </c>
      <c r="E1148" s="76" t="s">
        <v>1982</v>
      </c>
      <c r="F1148" s="76"/>
      <c r="G1148" s="76" t="s">
        <v>284</v>
      </c>
      <c r="H1148" s="76" t="s">
        <v>1542</v>
      </c>
      <c r="I1148" s="76" t="s">
        <v>721</v>
      </c>
      <c r="J1148" s="76"/>
      <c r="K1148" s="76"/>
      <c r="L1148" s="76"/>
      <c r="M1148" s="76"/>
      <c r="N1148" s="76"/>
    </row>
    <row r="1149" spans="2:14" hidden="1">
      <c r="B1149" s="76"/>
      <c r="C1149" s="76"/>
      <c r="D1149" s="76" t="s">
        <v>1582</v>
      </c>
      <c r="E1149" s="76" t="s">
        <v>1983</v>
      </c>
      <c r="F1149" s="76"/>
      <c r="G1149" s="76" t="s">
        <v>285</v>
      </c>
      <c r="H1149" s="76" t="s">
        <v>1542</v>
      </c>
      <c r="I1149" s="76" t="s">
        <v>721</v>
      </c>
      <c r="J1149" s="76"/>
      <c r="K1149" s="76"/>
      <c r="L1149" s="76"/>
      <c r="M1149" s="76"/>
      <c r="N1149" s="76"/>
    </row>
    <row r="1150" spans="2:14" hidden="1">
      <c r="B1150" s="76"/>
      <c r="C1150" s="76"/>
      <c r="D1150" s="76" t="s">
        <v>1567</v>
      </c>
      <c r="E1150" s="76" t="s">
        <v>1968</v>
      </c>
      <c r="F1150" s="76"/>
      <c r="G1150" s="76" t="s">
        <v>286</v>
      </c>
      <c r="H1150" s="76" t="s">
        <v>1542</v>
      </c>
      <c r="I1150" s="76" t="s">
        <v>721</v>
      </c>
      <c r="J1150" s="76"/>
      <c r="K1150" s="76"/>
      <c r="L1150" s="76"/>
      <c r="M1150" s="76"/>
      <c r="N1150" s="76"/>
    </row>
    <row r="1151" spans="2:14" hidden="1">
      <c r="B1151" s="76"/>
      <c r="C1151" s="76"/>
      <c r="D1151" s="76" t="s">
        <v>1571</v>
      </c>
      <c r="E1151" s="76" t="s">
        <v>1972</v>
      </c>
      <c r="F1151" s="76"/>
      <c r="G1151" s="76" t="s">
        <v>287</v>
      </c>
      <c r="H1151" s="76" t="s">
        <v>1542</v>
      </c>
      <c r="I1151" s="76" t="s">
        <v>721</v>
      </c>
      <c r="J1151" s="76"/>
      <c r="K1151" s="76"/>
      <c r="L1151" s="76"/>
      <c r="M1151" s="76"/>
      <c r="N1151" s="76"/>
    </row>
    <row r="1152" spans="2:14" hidden="1">
      <c r="B1152" s="76"/>
      <c r="C1152" s="76"/>
      <c r="D1152" s="76" t="s">
        <v>1572</v>
      </c>
      <c r="E1152" s="76" t="s">
        <v>1973</v>
      </c>
      <c r="F1152" s="76"/>
      <c r="G1152" s="76" t="s">
        <v>288</v>
      </c>
      <c r="H1152" s="76" t="s">
        <v>1542</v>
      </c>
      <c r="I1152" s="76" t="s">
        <v>721</v>
      </c>
      <c r="J1152" s="76"/>
      <c r="K1152" s="76"/>
      <c r="L1152" s="76"/>
      <c r="M1152" s="76"/>
      <c r="N1152" s="76"/>
    </row>
    <row r="1153" spans="2:14" hidden="1">
      <c r="B1153" s="76"/>
      <c r="C1153" s="76"/>
      <c r="D1153" s="76" t="s">
        <v>1569</v>
      </c>
      <c r="E1153" s="76" t="s">
        <v>1970</v>
      </c>
      <c r="F1153" s="76"/>
      <c r="G1153" s="76" t="s">
        <v>289</v>
      </c>
      <c r="H1153" s="76" t="s">
        <v>1542</v>
      </c>
      <c r="I1153" s="76" t="s">
        <v>721</v>
      </c>
      <c r="J1153" s="76"/>
      <c r="K1153" s="76"/>
      <c r="L1153" s="76"/>
      <c r="M1153" s="76"/>
      <c r="N1153" s="76"/>
    </row>
    <row r="1154" spans="2:14" hidden="1">
      <c r="B1154" s="76"/>
      <c r="C1154" s="76"/>
      <c r="D1154" s="76" t="s">
        <v>1579</v>
      </c>
      <c r="E1154" s="76" t="s">
        <v>1980</v>
      </c>
      <c r="F1154" s="76"/>
      <c r="G1154" s="76" t="s">
        <v>290</v>
      </c>
      <c r="H1154" s="76" t="s">
        <v>1542</v>
      </c>
      <c r="I1154" s="76" t="s">
        <v>721</v>
      </c>
      <c r="J1154" s="76"/>
      <c r="K1154" s="76"/>
      <c r="L1154" s="76"/>
      <c r="M1154" s="76"/>
      <c r="N1154" s="76"/>
    </row>
    <row r="1155" spans="2:14" hidden="1">
      <c r="B1155" s="76"/>
      <c r="C1155" s="76"/>
      <c r="D1155" s="76" t="s">
        <v>1577</v>
      </c>
      <c r="E1155" s="76" t="s">
        <v>1978</v>
      </c>
      <c r="F1155" s="76"/>
      <c r="G1155" s="76" t="s">
        <v>291</v>
      </c>
      <c r="H1155" s="76" t="s">
        <v>1542</v>
      </c>
      <c r="I1155" s="76" t="s">
        <v>721</v>
      </c>
      <c r="J1155" s="76"/>
      <c r="K1155" s="76"/>
      <c r="L1155" s="76"/>
      <c r="M1155" s="76"/>
      <c r="N1155" s="76"/>
    </row>
    <row r="1156" spans="2:14" hidden="1">
      <c r="B1156" s="76"/>
      <c r="C1156" s="76"/>
      <c r="D1156" s="76" t="s">
        <v>1580</v>
      </c>
      <c r="E1156" s="76" t="s">
        <v>1981</v>
      </c>
      <c r="F1156" s="76"/>
      <c r="G1156" s="76" t="s">
        <v>721</v>
      </c>
      <c r="H1156" s="76" t="s">
        <v>1542</v>
      </c>
      <c r="I1156" s="76" t="s">
        <v>721</v>
      </c>
      <c r="J1156" s="76"/>
      <c r="K1156" s="76"/>
      <c r="L1156" s="76"/>
      <c r="M1156" s="76"/>
      <c r="N1156" s="76"/>
    </row>
    <row r="1157" spans="2:14" hidden="1">
      <c r="B1157" s="76"/>
      <c r="C1157" s="76"/>
      <c r="D1157" s="76" t="s">
        <v>1583</v>
      </c>
      <c r="E1157" s="76" t="s">
        <v>1984</v>
      </c>
      <c r="F1157" s="76"/>
      <c r="G1157" s="107" t="s">
        <v>292</v>
      </c>
      <c r="H1157" s="76" t="s">
        <v>1542</v>
      </c>
      <c r="I1157" s="76" t="s">
        <v>721</v>
      </c>
      <c r="J1157" s="76"/>
      <c r="K1157" s="76"/>
      <c r="L1157" s="76"/>
      <c r="M1157" s="76"/>
      <c r="N1157" s="76"/>
    </row>
    <row r="1158" spans="2:14" hidden="1">
      <c r="B1158" s="76"/>
      <c r="C1158" s="76"/>
      <c r="D1158" s="76" t="s">
        <v>1568</v>
      </c>
      <c r="E1158" s="76" t="s">
        <v>1969</v>
      </c>
      <c r="F1158" s="76"/>
      <c r="G1158" s="76" t="s">
        <v>293</v>
      </c>
      <c r="H1158" s="76" t="s">
        <v>1542</v>
      </c>
      <c r="I1158" s="76" t="s">
        <v>721</v>
      </c>
      <c r="J1158" s="76"/>
      <c r="K1158" s="76"/>
      <c r="L1158" s="76"/>
      <c r="M1158" s="76"/>
      <c r="N1158" s="76"/>
    </row>
    <row r="1159" spans="2:14" hidden="1">
      <c r="B1159" s="76"/>
      <c r="C1159" s="76"/>
      <c r="D1159" s="76" t="s">
        <v>1506</v>
      </c>
      <c r="E1159" s="76" t="s">
        <v>1907</v>
      </c>
      <c r="F1159" s="76"/>
      <c r="G1159" s="76" t="s">
        <v>294</v>
      </c>
      <c r="H1159" s="76" t="s">
        <v>1542</v>
      </c>
      <c r="I1159" s="76" t="s">
        <v>721</v>
      </c>
      <c r="J1159" s="76"/>
      <c r="K1159" s="76"/>
      <c r="L1159" s="76"/>
      <c r="M1159" s="76"/>
      <c r="N1159" s="76"/>
    </row>
    <row r="1160" spans="2:14" hidden="1">
      <c r="B1160" s="76"/>
      <c r="C1160" s="76"/>
      <c r="D1160" s="76" t="s">
        <v>1565</v>
      </c>
      <c r="E1160" s="76" t="s">
        <v>1966</v>
      </c>
      <c r="F1160" s="76"/>
      <c r="G1160" s="76" t="s">
        <v>283</v>
      </c>
      <c r="H1160" s="76" t="s">
        <v>1542</v>
      </c>
      <c r="I1160" s="76" t="s">
        <v>721</v>
      </c>
      <c r="J1160" s="76"/>
      <c r="K1160" s="76"/>
      <c r="L1160" s="76"/>
      <c r="M1160" s="76"/>
      <c r="N1160" s="76"/>
    </row>
    <row r="1161" spans="2:14" hidden="1">
      <c r="B1161" s="76"/>
      <c r="C1161" s="76"/>
      <c r="D1161" s="76" t="s">
        <v>1564</v>
      </c>
      <c r="E1161" s="76" t="s">
        <v>1965</v>
      </c>
      <c r="F1161" s="76"/>
      <c r="G1161" s="76" t="s">
        <v>1300</v>
      </c>
      <c r="H1161" s="76" t="s">
        <v>1474</v>
      </c>
      <c r="I1161" s="76" t="s">
        <v>1300</v>
      </c>
      <c r="J1161" s="76"/>
      <c r="K1161" s="76"/>
      <c r="L1161" s="76"/>
      <c r="M1161" s="76"/>
      <c r="N1161" s="76"/>
    </row>
    <row r="1162" spans="2:14" hidden="1">
      <c r="B1162" s="76"/>
      <c r="C1162" s="76"/>
      <c r="D1162" s="76" t="s">
        <v>1574</v>
      </c>
      <c r="E1162" s="76" t="s">
        <v>1975</v>
      </c>
      <c r="F1162" s="76"/>
      <c r="G1162" s="76" t="s">
        <v>277</v>
      </c>
      <c r="H1162" s="76" t="s">
        <v>1447</v>
      </c>
      <c r="I1162" s="76" t="s">
        <v>1185</v>
      </c>
      <c r="J1162" s="76"/>
      <c r="K1162" s="76"/>
      <c r="L1162" s="76"/>
      <c r="M1162" s="76"/>
      <c r="N1162" s="76"/>
    </row>
    <row r="1163" spans="2:14" hidden="1">
      <c r="B1163" s="76"/>
      <c r="C1163" s="76"/>
      <c r="D1163" s="76" t="s">
        <v>1578</v>
      </c>
      <c r="E1163" s="76" t="s">
        <v>1979</v>
      </c>
      <c r="F1163" s="76"/>
      <c r="G1163" s="76" t="s">
        <v>714</v>
      </c>
      <c r="H1163" s="76" t="s">
        <v>1474</v>
      </c>
      <c r="I1163" s="76" t="s">
        <v>714</v>
      </c>
      <c r="J1163" s="76"/>
      <c r="K1163" s="76"/>
      <c r="L1163" s="76"/>
      <c r="M1163" s="76"/>
      <c r="N1163" s="76"/>
    </row>
    <row r="1164" spans="2:14" hidden="1">
      <c r="B1164" s="76"/>
      <c r="C1164" s="76"/>
      <c r="D1164" s="76" t="s">
        <v>1563</v>
      </c>
      <c r="E1164" s="76" t="s">
        <v>1964</v>
      </c>
      <c r="F1164" s="76"/>
      <c r="G1164" s="76" t="s">
        <v>724</v>
      </c>
      <c r="H1164" s="76" t="s">
        <v>1542</v>
      </c>
      <c r="I1164" s="76" t="s">
        <v>1365</v>
      </c>
      <c r="J1164" s="76"/>
      <c r="K1164" s="76"/>
      <c r="L1164" s="76"/>
      <c r="M1164" s="76"/>
      <c r="N1164" s="76"/>
    </row>
    <row r="1165" spans="2:14" hidden="1">
      <c r="B1165" s="76"/>
      <c r="C1165" s="76"/>
      <c r="D1165" s="76" t="s">
        <v>1576</v>
      </c>
      <c r="E1165" s="76" t="s">
        <v>1977</v>
      </c>
      <c r="F1165" s="76"/>
      <c r="G1165" s="76" t="s">
        <v>1366</v>
      </c>
      <c r="H1165" s="76" t="s">
        <v>1542</v>
      </c>
      <c r="I1165" s="76" t="s">
        <v>719</v>
      </c>
      <c r="J1165" s="76"/>
      <c r="K1165" s="76"/>
      <c r="L1165" s="76"/>
      <c r="M1165" s="76"/>
      <c r="N1165" s="76"/>
    </row>
    <row r="1166" spans="2:14" hidden="1">
      <c r="B1166" s="76"/>
      <c r="C1166" s="76"/>
      <c r="D1166" s="76" t="s">
        <v>1573</v>
      </c>
      <c r="E1166" s="76" t="s">
        <v>1974</v>
      </c>
      <c r="F1166" s="76"/>
      <c r="G1166" s="76" t="s">
        <v>296</v>
      </c>
      <c r="H1166" s="76" t="s">
        <v>1451</v>
      </c>
      <c r="I1166" s="76" t="s">
        <v>40</v>
      </c>
      <c r="J1166" s="76"/>
      <c r="K1166" s="76"/>
      <c r="L1166" s="76"/>
      <c r="M1166" s="76"/>
      <c r="N1166" s="76"/>
    </row>
    <row r="1167" spans="2:14" hidden="1">
      <c r="B1167" s="76"/>
      <c r="C1167" s="76"/>
      <c r="D1167" s="76" t="s">
        <v>1584</v>
      </c>
      <c r="E1167" s="76" t="s">
        <v>1985</v>
      </c>
      <c r="F1167" s="76"/>
      <c r="G1167" s="76" t="s">
        <v>39</v>
      </c>
      <c r="H1167" s="76" t="s">
        <v>1463</v>
      </c>
      <c r="I1167" s="76" t="s">
        <v>39</v>
      </c>
      <c r="J1167" s="76"/>
      <c r="K1167" s="76"/>
      <c r="L1167" s="76"/>
      <c r="M1167" s="76"/>
      <c r="N1167" s="76"/>
    </row>
    <row r="1168" spans="2:14" hidden="1">
      <c r="B1168" s="76"/>
      <c r="C1168" s="76"/>
      <c r="D1168" s="76" t="s">
        <v>1594</v>
      </c>
      <c r="E1168" s="76" t="s">
        <v>1995</v>
      </c>
      <c r="F1168" s="76"/>
      <c r="G1168" s="76" t="s">
        <v>295</v>
      </c>
      <c r="H1168" s="76" t="s">
        <v>1451</v>
      </c>
      <c r="I1168" s="76" t="s">
        <v>40</v>
      </c>
      <c r="J1168" s="76"/>
      <c r="K1168" s="76"/>
      <c r="L1168" s="76"/>
      <c r="M1168" s="76"/>
      <c r="N1168" s="76"/>
    </row>
    <row r="1169" spans="2:14" hidden="1">
      <c r="B1169" s="76"/>
      <c r="C1169" s="76"/>
      <c r="D1169" s="76" t="s">
        <v>1593</v>
      </c>
      <c r="E1169" s="76" t="s">
        <v>1994</v>
      </c>
      <c r="F1169" s="76"/>
      <c r="G1169" s="76" t="s">
        <v>297</v>
      </c>
      <c r="H1169" s="76" t="s">
        <v>1451</v>
      </c>
      <c r="I1169" s="76" t="s">
        <v>40</v>
      </c>
      <c r="J1169" s="76"/>
      <c r="K1169" s="76"/>
      <c r="L1169" s="76"/>
      <c r="M1169" s="76"/>
      <c r="N1169" s="76"/>
    </row>
    <row r="1170" spans="2:14" hidden="1">
      <c r="B1170" s="76"/>
      <c r="C1170" s="76"/>
      <c r="D1170" s="76" t="s">
        <v>1591</v>
      </c>
      <c r="E1170" s="76" t="s">
        <v>1992</v>
      </c>
      <c r="F1170" s="76"/>
      <c r="G1170" s="76" t="s">
        <v>1367</v>
      </c>
      <c r="H1170" s="76" t="s">
        <v>1451</v>
      </c>
      <c r="I1170" s="76" t="s">
        <v>40</v>
      </c>
      <c r="J1170" s="76"/>
      <c r="K1170" s="76"/>
      <c r="L1170" s="76"/>
      <c r="M1170" s="76"/>
      <c r="N1170" s="76"/>
    </row>
    <row r="1171" spans="2:14" hidden="1">
      <c r="B1171" s="76"/>
      <c r="C1171" s="76"/>
      <c r="D1171" s="76" t="s">
        <v>1439</v>
      </c>
      <c r="E1171" s="76" t="s">
        <v>1840</v>
      </c>
      <c r="F1171" s="76"/>
      <c r="G1171" s="76" t="s">
        <v>40</v>
      </c>
      <c r="H1171" s="76" t="s">
        <v>1451</v>
      </c>
      <c r="I1171" s="76" t="s">
        <v>40</v>
      </c>
      <c r="J1171" s="76"/>
      <c r="K1171" s="76"/>
      <c r="L1171" s="76"/>
      <c r="M1171" s="76"/>
      <c r="N1171" s="76"/>
    </row>
    <row r="1172" spans="2:14" hidden="1">
      <c r="B1172" s="76"/>
      <c r="C1172" s="76"/>
      <c r="D1172" s="76" t="s">
        <v>1585</v>
      </c>
      <c r="E1172" s="76" t="s">
        <v>1986</v>
      </c>
      <c r="F1172" s="76"/>
      <c r="G1172" s="76" t="s">
        <v>1368</v>
      </c>
      <c r="H1172" s="76" t="s">
        <v>1472</v>
      </c>
      <c r="I1172" s="76" t="s">
        <v>41</v>
      </c>
      <c r="J1172" s="76"/>
      <c r="K1172" s="76"/>
      <c r="L1172" s="76"/>
      <c r="M1172" s="76"/>
      <c r="N1172" s="76"/>
    </row>
    <row r="1173" spans="2:14" hidden="1">
      <c r="B1173" s="76"/>
      <c r="C1173" s="76"/>
      <c r="D1173" s="76" t="s">
        <v>1595</v>
      </c>
      <c r="E1173" s="76" t="s">
        <v>1996</v>
      </c>
      <c r="F1173" s="76"/>
      <c r="G1173" s="76" t="s">
        <v>41</v>
      </c>
      <c r="H1173" s="76" t="s">
        <v>1472</v>
      </c>
      <c r="I1173" s="76" t="s">
        <v>41</v>
      </c>
      <c r="J1173" s="76"/>
      <c r="K1173" s="76"/>
      <c r="L1173" s="76"/>
      <c r="M1173" s="76"/>
      <c r="N1173" s="76"/>
    </row>
    <row r="1174" spans="2:14" hidden="1">
      <c r="B1174" s="76"/>
      <c r="C1174" s="76"/>
      <c r="D1174" s="76" t="s">
        <v>1589</v>
      </c>
      <c r="E1174" s="76" t="s">
        <v>1990</v>
      </c>
      <c r="F1174" s="76"/>
      <c r="G1174" s="76" t="s">
        <v>298</v>
      </c>
      <c r="H1174" s="76" t="s">
        <v>1472</v>
      </c>
      <c r="I1174" s="76" t="s">
        <v>41</v>
      </c>
      <c r="J1174" s="76"/>
      <c r="K1174" s="76"/>
      <c r="L1174" s="76"/>
      <c r="M1174" s="76"/>
      <c r="N1174" s="76"/>
    </row>
    <row r="1175" spans="2:14" hidden="1">
      <c r="B1175" s="76"/>
      <c r="C1175" s="76"/>
      <c r="D1175" s="76" t="s">
        <v>1586</v>
      </c>
      <c r="E1175" s="76" t="s">
        <v>1987</v>
      </c>
      <c r="F1175" s="76"/>
      <c r="G1175" s="76" t="s">
        <v>264</v>
      </c>
      <c r="H1175" s="76" t="s">
        <v>1488</v>
      </c>
      <c r="I1175" s="76" t="s">
        <v>686</v>
      </c>
      <c r="J1175" s="76"/>
      <c r="K1175" s="76"/>
      <c r="L1175" s="76"/>
      <c r="M1175" s="76"/>
      <c r="N1175" s="76"/>
    </row>
    <row r="1176" spans="2:14" hidden="1">
      <c r="B1176" s="76"/>
      <c r="C1176" s="76"/>
      <c r="D1176" s="76" t="s">
        <v>1588</v>
      </c>
      <c r="E1176" s="76" t="s">
        <v>1989</v>
      </c>
      <c r="F1176" s="76"/>
      <c r="G1176" s="76" t="s">
        <v>278</v>
      </c>
      <c r="H1176" s="76" t="s">
        <v>1447</v>
      </c>
      <c r="I1176" s="76" t="s">
        <v>1185</v>
      </c>
      <c r="J1176" s="76"/>
      <c r="K1176" s="76"/>
      <c r="L1176" s="76"/>
      <c r="M1176" s="76"/>
      <c r="N1176" s="76"/>
    </row>
    <row r="1177" spans="2:14" hidden="1">
      <c r="B1177" s="76"/>
      <c r="C1177" s="76"/>
      <c r="D1177" s="76" t="s">
        <v>1590</v>
      </c>
      <c r="E1177" s="76" t="s">
        <v>1991</v>
      </c>
      <c r="F1177" s="76"/>
      <c r="G1177" s="76" t="s">
        <v>1185</v>
      </c>
      <c r="H1177" s="76" t="s">
        <v>1447</v>
      </c>
      <c r="I1177" s="76" t="s">
        <v>1185</v>
      </c>
      <c r="J1177" s="76"/>
      <c r="K1177" s="76"/>
      <c r="L1177" s="76"/>
      <c r="M1177" s="76"/>
      <c r="N1177" s="76"/>
    </row>
    <row r="1178" spans="2:14" hidden="1">
      <c r="B1178" s="76"/>
      <c r="C1178" s="76"/>
      <c r="D1178" s="76" t="s">
        <v>1587</v>
      </c>
      <c r="E1178" s="76" t="s">
        <v>1988</v>
      </c>
      <c r="F1178" s="76"/>
      <c r="G1178" s="76" t="s">
        <v>1369</v>
      </c>
      <c r="H1178" s="76" t="s">
        <v>1470</v>
      </c>
      <c r="I1178" s="76" t="s">
        <v>43</v>
      </c>
      <c r="J1178" s="76"/>
      <c r="K1178" s="76"/>
      <c r="L1178" s="76"/>
      <c r="M1178" s="76"/>
      <c r="N1178" s="76"/>
    </row>
    <row r="1179" spans="2:14" hidden="1">
      <c r="B1179" s="76"/>
      <c r="C1179" s="76"/>
      <c r="D1179" s="76" t="s">
        <v>1575</v>
      </c>
      <c r="E1179" s="76" t="s">
        <v>1976</v>
      </c>
      <c r="F1179" s="76"/>
      <c r="G1179" s="76" t="s">
        <v>43</v>
      </c>
      <c r="H1179" s="76" t="s">
        <v>1470</v>
      </c>
      <c r="I1179" s="76" t="s">
        <v>43</v>
      </c>
      <c r="J1179" s="76"/>
      <c r="K1179" s="76"/>
      <c r="L1179" s="76"/>
      <c r="M1179" s="76"/>
      <c r="N1179" s="76"/>
    </row>
    <row r="1180" spans="2:14" hidden="1">
      <c r="B1180" s="76"/>
      <c r="C1180" s="76"/>
      <c r="D1180" s="76" t="s">
        <v>1592</v>
      </c>
      <c r="E1180" s="76" t="s">
        <v>1993</v>
      </c>
      <c r="F1180" s="76"/>
      <c r="G1180" s="76" t="s">
        <v>299</v>
      </c>
      <c r="H1180" s="76" t="s">
        <v>1470</v>
      </c>
      <c r="I1180" s="76" t="s">
        <v>43</v>
      </c>
      <c r="J1180" s="76"/>
      <c r="K1180" s="76"/>
      <c r="L1180" s="76"/>
      <c r="M1180" s="76"/>
      <c r="N1180" s="76"/>
    </row>
    <row r="1181" spans="2:14" hidden="1">
      <c r="B1181" s="76"/>
      <c r="C1181" s="76"/>
      <c r="D1181" s="76" t="s">
        <v>1596</v>
      </c>
      <c r="E1181" s="76" t="s">
        <v>1997</v>
      </c>
      <c r="F1181" s="76"/>
      <c r="G1181" s="76" t="s">
        <v>45</v>
      </c>
      <c r="H1181" s="76" t="s">
        <v>1474</v>
      </c>
      <c r="I1181" s="76" t="s">
        <v>1301</v>
      </c>
      <c r="J1181" s="76"/>
      <c r="K1181" s="76"/>
      <c r="L1181" s="76"/>
      <c r="M1181" s="76"/>
      <c r="N1181" s="76"/>
    </row>
    <row r="1182" spans="2:14" hidden="1">
      <c r="B1182" s="76"/>
      <c r="C1182" s="76"/>
      <c r="D1182" s="76" t="s">
        <v>1597</v>
      </c>
      <c r="E1182" s="76" t="s">
        <v>1998</v>
      </c>
      <c r="F1182" s="76"/>
      <c r="G1182" s="76" t="s">
        <v>1301</v>
      </c>
      <c r="H1182" s="76" t="s">
        <v>1474</v>
      </c>
      <c r="I1182" s="76" t="s">
        <v>1301</v>
      </c>
      <c r="J1182" s="76"/>
      <c r="K1182" s="76"/>
      <c r="L1182" s="76"/>
      <c r="M1182" s="76"/>
      <c r="N1182" s="76"/>
    </row>
    <row r="1183" spans="2:14" hidden="1">
      <c r="B1183" s="76"/>
      <c r="C1183" s="76"/>
      <c r="D1183" s="76" t="s">
        <v>1602</v>
      </c>
      <c r="E1183" s="76" t="s">
        <v>2003</v>
      </c>
      <c r="F1183" s="76"/>
      <c r="G1183" s="76" t="s">
        <v>46</v>
      </c>
      <c r="H1183" s="76" t="s">
        <v>1474</v>
      </c>
      <c r="I1183" s="76" t="s">
        <v>1302</v>
      </c>
      <c r="J1183" s="76"/>
      <c r="K1183" s="76"/>
      <c r="L1183" s="76"/>
      <c r="M1183" s="76"/>
      <c r="N1183" s="76"/>
    </row>
    <row r="1184" spans="2:14" hidden="1">
      <c r="B1184" s="76"/>
      <c r="C1184" s="76"/>
      <c r="D1184" s="76" t="s">
        <v>1598</v>
      </c>
      <c r="E1184" s="76" t="s">
        <v>1999</v>
      </c>
      <c r="F1184" s="76"/>
      <c r="G1184" s="76" t="s">
        <v>1302</v>
      </c>
      <c r="H1184" s="76" t="s">
        <v>1474</v>
      </c>
      <c r="I1184" s="76" t="s">
        <v>1302</v>
      </c>
      <c r="J1184" s="76"/>
      <c r="K1184" s="76"/>
      <c r="L1184" s="76"/>
      <c r="M1184" s="76"/>
      <c r="N1184" s="76"/>
    </row>
    <row r="1185" spans="2:14" hidden="1">
      <c r="B1185" s="76"/>
      <c r="C1185" s="76"/>
      <c r="D1185" s="76" t="s">
        <v>1603</v>
      </c>
      <c r="E1185" s="76" t="s">
        <v>2004</v>
      </c>
      <c r="F1185" s="76"/>
      <c r="G1185" s="107" t="s">
        <v>669</v>
      </c>
      <c r="H1185" s="76"/>
      <c r="I1185" s="76"/>
      <c r="J1185" s="76"/>
      <c r="K1185" s="76"/>
      <c r="L1185" s="76"/>
      <c r="M1185" s="76"/>
      <c r="N1185" s="76"/>
    </row>
    <row r="1186" spans="2:14" hidden="1">
      <c r="B1186" s="76"/>
      <c r="C1186" s="76"/>
      <c r="D1186" s="76" t="s">
        <v>2035</v>
      </c>
      <c r="E1186" s="76" t="s">
        <v>2009</v>
      </c>
      <c r="F1186" s="76"/>
      <c r="G1186" s="76" t="s">
        <v>303</v>
      </c>
      <c r="H1186" s="76" t="s">
        <v>2082</v>
      </c>
      <c r="I1186" s="76" t="s">
        <v>1275</v>
      </c>
      <c r="J1186" s="76"/>
      <c r="K1186" s="76"/>
      <c r="L1186" s="76"/>
      <c r="M1186" s="76"/>
      <c r="N1186" s="76"/>
    </row>
    <row r="1187" spans="2:14" hidden="1">
      <c r="B1187" s="76"/>
      <c r="C1187" s="76"/>
      <c r="D1187" s="76" t="s">
        <v>1600</v>
      </c>
      <c r="E1187" s="76" t="s">
        <v>2001</v>
      </c>
      <c r="F1187" s="76"/>
      <c r="G1187" s="76" t="s">
        <v>315</v>
      </c>
      <c r="H1187" s="76" t="s">
        <v>1474</v>
      </c>
      <c r="I1187" s="76" t="s">
        <v>1294</v>
      </c>
      <c r="J1187" s="76"/>
      <c r="K1187" s="76"/>
      <c r="L1187" s="76"/>
      <c r="M1187" s="76"/>
      <c r="N1187" s="76"/>
    </row>
    <row r="1188" spans="2:14" hidden="1">
      <c r="B1188" s="76"/>
      <c r="C1188" s="76"/>
      <c r="D1188" s="76" t="s">
        <v>1601</v>
      </c>
      <c r="E1188" s="76" t="s">
        <v>2002</v>
      </c>
      <c r="F1188" s="76"/>
      <c r="G1188" s="76" t="s">
        <v>306</v>
      </c>
      <c r="H1188" s="76" t="s">
        <v>1462</v>
      </c>
      <c r="I1188" s="76" t="s">
        <v>1283</v>
      </c>
      <c r="J1188" s="76"/>
      <c r="K1188" s="76"/>
      <c r="L1188" s="76"/>
      <c r="M1188" s="76"/>
      <c r="N1188" s="76"/>
    </row>
    <row r="1189" spans="2:14" hidden="1">
      <c r="B1189" s="76"/>
      <c r="C1189" s="76"/>
      <c r="D1189" s="76" t="s">
        <v>1599</v>
      </c>
      <c r="E1189" s="76" t="s">
        <v>2000</v>
      </c>
      <c r="F1189" s="76"/>
      <c r="G1189" s="76" t="s">
        <v>1275</v>
      </c>
      <c r="H1189" s="76" t="s">
        <v>2082</v>
      </c>
      <c r="I1189" s="76" t="s">
        <v>1275</v>
      </c>
      <c r="J1189" s="76"/>
      <c r="K1189" s="76"/>
      <c r="L1189" s="76"/>
      <c r="M1189" s="76"/>
      <c r="N1189" s="76"/>
    </row>
    <row r="1190" spans="2:14" hidden="1">
      <c r="B1190" s="76"/>
      <c r="C1190" s="76"/>
      <c r="D1190" s="76" t="s">
        <v>1604</v>
      </c>
      <c r="E1190" s="76" t="s">
        <v>2005</v>
      </c>
      <c r="F1190" s="76"/>
      <c r="G1190" s="76" t="s">
        <v>1276</v>
      </c>
      <c r="H1190" s="76" t="s">
        <v>1531</v>
      </c>
      <c r="I1190" s="76" t="s">
        <v>1276</v>
      </c>
      <c r="J1190" s="76"/>
      <c r="K1190" s="76"/>
      <c r="L1190" s="76"/>
      <c r="M1190" s="76"/>
      <c r="N1190" s="76"/>
    </row>
    <row r="1191" spans="2:14" hidden="1">
      <c r="B1191" s="76"/>
      <c r="C1191" s="76"/>
      <c r="D1191" s="76" t="s">
        <v>2034</v>
      </c>
      <c r="E1191" s="76" t="s">
        <v>2008</v>
      </c>
      <c r="F1191" s="76"/>
      <c r="G1191" s="76" t="s">
        <v>1277</v>
      </c>
      <c r="H1191" s="76" t="s">
        <v>1531</v>
      </c>
      <c r="I1191" s="76" t="s">
        <v>1277</v>
      </c>
      <c r="J1191" s="76"/>
      <c r="K1191" s="76"/>
      <c r="L1191" s="76"/>
      <c r="M1191" s="76"/>
      <c r="N1191" s="76"/>
    </row>
    <row r="1192" spans="2:14" hidden="1">
      <c r="B1192" s="76"/>
      <c r="C1192" s="76"/>
      <c r="D1192" s="76" t="s">
        <v>2032</v>
      </c>
      <c r="E1192" s="76" t="s">
        <v>2006</v>
      </c>
      <c r="F1192" s="76"/>
      <c r="G1192" s="76" t="s">
        <v>1691</v>
      </c>
      <c r="H1192" s="76" t="s">
        <v>1531</v>
      </c>
      <c r="I1192" s="76" t="s">
        <v>1691</v>
      </c>
      <c r="J1192" s="76"/>
      <c r="K1192" s="76"/>
      <c r="L1192" s="76"/>
      <c r="M1192" s="76"/>
      <c r="N1192" s="76"/>
    </row>
    <row r="1193" spans="2:14" hidden="1">
      <c r="B1193" s="76"/>
      <c r="C1193" s="76"/>
      <c r="D1193" s="76" t="s">
        <v>2037</v>
      </c>
      <c r="E1193" s="76" t="s">
        <v>2011</v>
      </c>
      <c r="F1193" s="76"/>
      <c r="G1193" s="76" t="s">
        <v>1278</v>
      </c>
      <c r="H1193" s="76" t="s">
        <v>1531</v>
      </c>
      <c r="I1193" s="76" t="s">
        <v>1278</v>
      </c>
      <c r="J1193" s="76"/>
      <c r="K1193" s="76"/>
      <c r="L1193" s="76"/>
      <c r="M1193" s="76"/>
      <c r="N1193" s="76"/>
    </row>
    <row r="1194" spans="2:14" hidden="1">
      <c r="B1194" s="76"/>
      <c r="C1194" s="76"/>
      <c r="D1194" s="76" t="s">
        <v>2038</v>
      </c>
      <c r="E1194" s="76" t="s">
        <v>2012</v>
      </c>
      <c r="F1194" s="76"/>
      <c r="G1194" s="76" t="s">
        <v>1279</v>
      </c>
      <c r="H1194" s="76" t="s">
        <v>1531</v>
      </c>
      <c r="I1194" s="76" t="s">
        <v>1279</v>
      </c>
      <c r="J1194" s="76"/>
      <c r="K1194" s="76"/>
      <c r="L1194" s="76"/>
      <c r="M1194" s="76"/>
      <c r="N1194" s="76"/>
    </row>
    <row r="1195" spans="2:14" hidden="1">
      <c r="B1195" s="76"/>
      <c r="C1195" s="76"/>
      <c r="D1195" s="76" t="s">
        <v>2039</v>
      </c>
      <c r="E1195" s="76" t="s">
        <v>2013</v>
      </c>
      <c r="F1195" s="76"/>
      <c r="G1195" s="76" t="s">
        <v>1280</v>
      </c>
      <c r="H1195" s="76" t="s">
        <v>1531</v>
      </c>
      <c r="I1195" s="76" t="s">
        <v>1280</v>
      </c>
      <c r="J1195" s="76"/>
      <c r="K1195" s="76"/>
      <c r="L1195" s="76"/>
      <c r="M1195" s="76"/>
      <c r="N1195" s="76"/>
    </row>
    <row r="1196" spans="2:14" hidden="1">
      <c r="B1196" s="76"/>
      <c r="C1196" s="76"/>
      <c r="D1196" s="76" t="s">
        <v>2040</v>
      </c>
      <c r="E1196" s="76" t="s">
        <v>2014</v>
      </c>
      <c r="F1196" s="76"/>
      <c r="G1196" s="76" t="s">
        <v>1281</v>
      </c>
      <c r="H1196" s="76" t="s">
        <v>1531</v>
      </c>
      <c r="I1196" s="76" t="s">
        <v>1281</v>
      </c>
      <c r="J1196" s="76"/>
      <c r="K1196" s="76"/>
      <c r="L1196" s="76"/>
      <c r="M1196" s="76"/>
      <c r="N1196" s="76"/>
    </row>
    <row r="1197" spans="2:14" hidden="1">
      <c r="B1197" s="76"/>
      <c r="C1197" s="76"/>
      <c r="D1197" s="76" t="s">
        <v>2041</v>
      </c>
      <c r="E1197" s="76" t="s">
        <v>2015</v>
      </c>
      <c r="F1197" s="76"/>
      <c r="G1197" s="76" t="s">
        <v>1282</v>
      </c>
      <c r="H1197" s="76" t="s">
        <v>1531</v>
      </c>
      <c r="I1197" s="76" t="s">
        <v>1282</v>
      </c>
      <c r="J1197" s="76"/>
      <c r="K1197" s="76"/>
      <c r="L1197" s="76"/>
      <c r="M1197" s="76"/>
      <c r="N1197" s="76"/>
    </row>
    <row r="1198" spans="2:14" hidden="1">
      <c r="B1198" s="76"/>
      <c r="C1198" s="76"/>
      <c r="D1198" s="76" t="s">
        <v>1548</v>
      </c>
      <c r="E1198" s="76" t="s">
        <v>1949</v>
      </c>
      <c r="F1198" s="76"/>
      <c r="G1198" s="76" t="s">
        <v>1283</v>
      </c>
      <c r="H1198" s="76" t="s">
        <v>1462</v>
      </c>
      <c r="I1198" s="76" t="s">
        <v>1283</v>
      </c>
      <c r="J1198" s="76"/>
      <c r="K1198" s="76"/>
      <c r="L1198" s="76"/>
      <c r="M1198" s="76"/>
      <c r="N1198" s="76"/>
    </row>
    <row r="1199" spans="2:14" hidden="1">
      <c r="B1199" s="76"/>
      <c r="C1199" s="76"/>
      <c r="D1199" s="76" t="s">
        <v>1555</v>
      </c>
      <c r="E1199" s="76" t="s">
        <v>1956</v>
      </c>
      <c r="F1199" s="76"/>
      <c r="G1199" s="76" t="s">
        <v>304</v>
      </c>
      <c r="H1199" s="76" t="s">
        <v>1462</v>
      </c>
      <c r="I1199" s="76" t="s">
        <v>1283</v>
      </c>
      <c r="J1199" s="76"/>
      <c r="K1199" s="76"/>
      <c r="L1199" s="76"/>
      <c r="M1199" s="76"/>
      <c r="N1199" s="76"/>
    </row>
    <row r="1200" spans="2:14" hidden="1">
      <c r="B1200" s="76"/>
      <c r="C1200" s="76"/>
      <c r="D1200" s="76" t="s">
        <v>2085</v>
      </c>
      <c r="E1200" s="76" t="s">
        <v>1419</v>
      </c>
      <c r="F1200" s="76"/>
      <c r="G1200" s="76" t="s">
        <v>305</v>
      </c>
      <c r="H1200" s="76" t="s">
        <v>1462</v>
      </c>
      <c r="I1200" s="76" t="s">
        <v>1283</v>
      </c>
      <c r="J1200" s="76"/>
      <c r="K1200" s="76"/>
      <c r="L1200" s="76"/>
      <c r="M1200" s="76"/>
      <c r="N1200" s="76"/>
    </row>
    <row r="1201" spans="2:14" hidden="1">
      <c r="B1201" s="76"/>
      <c r="C1201" s="76"/>
      <c r="D1201" s="76" t="s">
        <v>2092</v>
      </c>
      <c r="E1201" s="76" t="s">
        <v>1426</v>
      </c>
      <c r="F1201" s="76"/>
      <c r="G1201" s="76" t="s">
        <v>311</v>
      </c>
      <c r="H1201" s="76" t="s">
        <v>1600</v>
      </c>
      <c r="I1201" s="76" t="s">
        <v>1748</v>
      </c>
      <c r="J1201" s="76"/>
      <c r="K1201" s="76"/>
      <c r="L1201" s="76"/>
      <c r="M1201" s="76"/>
      <c r="N1201" s="76"/>
    </row>
    <row r="1202" spans="2:14" hidden="1">
      <c r="B1202" s="76"/>
      <c r="C1202" s="76"/>
      <c r="D1202" s="76" t="s">
        <v>2052</v>
      </c>
      <c r="E1202" s="76" t="s">
        <v>2026</v>
      </c>
      <c r="F1202" s="76"/>
      <c r="G1202" s="76" t="s">
        <v>313</v>
      </c>
      <c r="H1202" s="76" t="s">
        <v>1600</v>
      </c>
      <c r="I1202" s="76" t="s">
        <v>1748</v>
      </c>
      <c r="J1202" s="76"/>
      <c r="K1202" s="76"/>
      <c r="L1202" s="76"/>
      <c r="M1202" s="76"/>
      <c r="N1202" s="76"/>
    </row>
    <row r="1203" spans="2:14" hidden="1">
      <c r="B1203" s="76"/>
      <c r="C1203" s="76"/>
      <c r="D1203" s="76" t="s">
        <v>2055</v>
      </c>
      <c r="E1203" s="76" t="s">
        <v>2029</v>
      </c>
      <c r="F1203" s="76"/>
      <c r="G1203" s="76" t="s">
        <v>1813</v>
      </c>
      <c r="H1203" s="76" t="s">
        <v>1474</v>
      </c>
      <c r="I1203" s="76" t="s">
        <v>1813</v>
      </c>
      <c r="J1203" s="76"/>
      <c r="K1203" s="76"/>
      <c r="L1203" s="76"/>
      <c r="M1203" s="76"/>
      <c r="N1203" s="76"/>
    </row>
    <row r="1204" spans="2:14" hidden="1">
      <c r="B1204" s="76"/>
      <c r="C1204" s="76"/>
      <c r="D1204" s="76" t="s">
        <v>2042</v>
      </c>
      <c r="E1204" s="76" t="s">
        <v>2016</v>
      </c>
      <c r="F1204" s="76"/>
      <c r="G1204" s="76" t="s">
        <v>1284</v>
      </c>
      <c r="H1204" s="76" t="s">
        <v>1474</v>
      </c>
      <c r="I1204" s="76" t="s">
        <v>1284</v>
      </c>
      <c r="J1204" s="76"/>
      <c r="K1204" s="76"/>
      <c r="L1204" s="76"/>
      <c r="M1204" s="76"/>
      <c r="N1204" s="76"/>
    </row>
    <row r="1205" spans="2:14" hidden="1">
      <c r="B1205" s="76"/>
      <c r="C1205" s="76"/>
      <c r="D1205" s="76" t="s">
        <v>2044</v>
      </c>
      <c r="E1205" s="76" t="s">
        <v>2018</v>
      </c>
      <c r="F1205" s="76"/>
      <c r="G1205" s="76" t="s">
        <v>213</v>
      </c>
      <c r="H1205" s="76" t="s">
        <v>1474</v>
      </c>
      <c r="I1205" s="76" t="s">
        <v>1284</v>
      </c>
      <c r="J1205" s="76"/>
      <c r="K1205" s="76"/>
      <c r="L1205" s="76"/>
      <c r="M1205" s="76"/>
      <c r="N1205" s="76"/>
    </row>
    <row r="1206" spans="2:14" hidden="1">
      <c r="B1206" s="76"/>
      <c r="C1206" s="76"/>
      <c r="D1206" s="76" t="s">
        <v>2061</v>
      </c>
      <c r="E1206" s="76" t="s">
        <v>1395</v>
      </c>
      <c r="F1206" s="76"/>
      <c r="G1206" s="76" t="s">
        <v>1285</v>
      </c>
      <c r="H1206" s="76" t="s">
        <v>1474</v>
      </c>
      <c r="I1206" s="76" t="s">
        <v>1285</v>
      </c>
      <c r="J1206" s="76"/>
      <c r="K1206" s="76"/>
      <c r="L1206" s="76"/>
      <c r="M1206" s="76"/>
      <c r="N1206" s="76"/>
    </row>
    <row r="1207" spans="2:14" hidden="1">
      <c r="B1207" s="76"/>
      <c r="C1207" s="76"/>
      <c r="D1207" s="76" t="s">
        <v>2050</v>
      </c>
      <c r="E1207" s="76" t="s">
        <v>2024</v>
      </c>
      <c r="F1207" s="76"/>
      <c r="G1207" s="76" t="s">
        <v>214</v>
      </c>
      <c r="H1207" s="76" t="s">
        <v>1474</v>
      </c>
      <c r="I1207" s="76" t="s">
        <v>1285</v>
      </c>
      <c r="J1207" s="76"/>
      <c r="K1207" s="76"/>
      <c r="L1207" s="76"/>
      <c r="M1207" s="76"/>
      <c r="N1207" s="76"/>
    </row>
    <row r="1208" spans="2:14" hidden="1">
      <c r="B1208" s="76"/>
      <c r="C1208" s="76"/>
      <c r="D1208" s="76" t="s">
        <v>2045</v>
      </c>
      <c r="E1208" s="76" t="s">
        <v>2019</v>
      </c>
      <c r="F1208" s="76"/>
      <c r="G1208" s="76" t="s">
        <v>1692</v>
      </c>
      <c r="H1208" s="76" t="s">
        <v>1474</v>
      </c>
      <c r="I1208" s="76" t="s">
        <v>1692</v>
      </c>
      <c r="J1208" s="76"/>
      <c r="K1208" s="76"/>
      <c r="L1208" s="76"/>
      <c r="M1208" s="76"/>
      <c r="N1208" s="76"/>
    </row>
    <row r="1209" spans="2:14" hidden="1">
      <c r="B1209" s="76"/>
      <c r="C1209" s="76"/>
      <c r="D1209" s="76" t="s">
        <v>2057</v>
      </c>
      <c r="E1209" s="76" t="s">
        <v>2031</v>
      </c>
      <c r="F1209" s="76"/>
      <c r="G1209" s="76" t="s">
        <v>1286</v>
      </c>
      <c r="H1209" s="76" t="s">
        <v>1474</v>
      </c>
      <c r="I1209" s="76" t="s">
        <v>1286</v>
      </c>
      <c r="J1209" s="76"/>
      <c r="K1209" s="76"/>
      <c r="L1209" s="76"/>
      <c r="M1209" s="76"/>
      <c r="N1209" s="76"/>
    </row>
    <row r="1210" spans="2:14" hidden="1">
      <c r="B1210" s="76"/>
      <c r="C1210" s="76"/>
      <c r="D1210" s="76" t="s">
        <v>2058</v>
      </c>
      <c r="E1210" s="76" t="s">
        <v>1392</v>
      </c>
      <c r="F1210" s="76"/>
      <c r="G1210" s="76" t="s">
        <v>1287</v>
      </c>
      <c r="H1210" s="76" t="s">
        <v>1582</v>
      </c>
      <c r="I1210" s="76" t="s">
        <v>1287</v>
      </c>
      <c r="J1210" s="76"/>
      <c r="K1210" s="76"/>
      <c r="L1210" s="76"/>
      <c r="M1210" s="76"/>
      <c r="N1210" s="76"/>
    </row>
    <row r="1211" spans="2:14" hidden="1">
      <c r="B1211" s="76"/>
      <c r="C1211" s="76"/>
      <c r="D1211" s="76" t="s">
        <v>2049</v>
      </c>
      <c r="E1211" s="76" t="s">
        <v>2023</v>
      </c>
      <c r="F1211" s="76"/>
      <c r="G1211" s="76" t="s">
        <v>308</v>
      </c>
      <c r="H1211" s="76" t="s">
        <v>1582</v>
      </c>
      <c r="I1211" s="76" t="s">
        <v>1287</v>
      </c>
      <c r="J1211" s="76"/>
      <c r="K1211" s="76"/>
      <c r="L1211" s="76"/>
      <c r="M1211" s="76"/>
      <c r="N1211" s="76"/>
    </row>
    <row r="1212" spans="2:14" hidden="1">
      <c r="B1212" s="76"/>
      <c r="C1212" s="76"/>
      <c r="D1212" s="76" t="s">
        <v>2053</v>
      </c>
      <c r="E1212" s="76" t="s">
        <v>2027</v>
      </c>
      <c r="F1212" s="76"/>
      <c r="G1212" s="76" t="s">
        <v>1288</v>
      </c>
      <c r="H1212" s="76" t="s">
        <v>1451</v>
      </c>
      <c r="I1212" s="76" t="s">
        <v>1288</v>
      </c>
      <c r="J1212" s="76"/>
      <c r="K1212" s="76"/>
      <c r="L1212" s="76"/>
      <c r="M1212" s="76"/>
      <c r="N1212" s="76"/>
    </row>
    <row r="1213" spans="2:14" hidden="1">
      <c r="B1213" s="76"/>
      <c r="C1213" s="76"/>
      <c r="D1213" s="76" t="s">
        <v>2095</v>
      </c>
      <c r="E1213" s="76" t="s">
        <v>1429</v>
      </c>
      <c r="F1213" s="76"/>
      <c r="G1213" s="76" t="s">
        <v>1747</v>
      </c>
      <c r="H1213" s="76" t="s">
        <v>1463</v>
      </c>
      <c r="I1213" s="76" t="s">
        <v>1747</v>
      </c>
      <c r="J1213" s="76"/>
      <c r="K1213" s="76"/>
      <c r="L1213" s="76"/>
      <c r="M1213" s="76"/>
      <c r="N1213" s="76"/>
    </row>
    <row r="1214" spans="2:14" hidden="1">
      <c r="B1214" s="76"/>
      <c r="C1214" s="76"/>
      <c r="D1214" s="76" t="s">
        <v>2046</v>
      </c>
      <c r="E1214" s="76" t="s">
        <v>2020</v>
      </c>
      <c r="F1214" s="76"/>
      <c r="G1214" s="76" t="s">
        <v>1748</v>
      </c>
      <c r="H1214" s="76" t="s">
        <v>1600</v>
      </c>
      <c r="I1214" s="76" t="s">
        <v>1748</v>
      </c>
      <c r="J1214" s="76"/>
      <c r="K1214" s="76"/>
      <c r="L1214" s="76"/>
      <c r="M1214" s="76"/>
      <c r="N1214" s="76"/>
    </row>
    <row r="1215" spans="2:14" hidden="1">
      <c r="B1215" s="76"/>
      <c r="C1215" s="76"/>
      <c r="D1215" s="76" t="s">
        <v>1498</v>
      </c>
      <c r="E1215" s="76" t="s">
        <v>1899</v>
      </c>
      <c r="F1215" s="76"/>
      <c r="G1215" s="76" t="s">
        <v>312</v>
      </c>
      <c r="H1215" s="76" t="s">
        <v>1600</v>
      </c>
      <c r="I1215" s="76" t="s">
        <v>1748</v>
      </c>
      <c r="J1215" s="76"/>
      <c r="K1215" s="76"/>
      <c r="L1215" s="76"/>
      <c r="M1215" s="76"/>
      <c r="N1215" s="76"/>
    </row>
    <row r="1216" spans="2:14" hidden="1">
      <c r="B1216" s="76"/>
      <c r="C1216" s="76"/>
      <c r="D1216" s="76" t="s">
        <v>1557</v>
      </c>
      <c r="E1216" s="76" t="s">
        <v>1958</v>
      </c>
      <c r="F1216" s="76"/>
      <c r="G1216" s="76" t="s">
        <v>314</v>
      </c>
      <c r="H1216" s="76" t="s">
        <v>1600</v>
      </c>
      <c r="I1216" s="76" t="s">
        <v>1748</v>
      </c>
      <c r="J1216" s="76"/>
      <c r="K1216" s="76"/>
      <c r="L1216" s="76"/>
      <c r="M1216" s="76"/>
      <c r="N1216" s="76"/>
    </row>
    <row r="1217" spans="2:14" hidden="1">
      <c r="B1217" s="76"/>
      <c r="C1217" s="76"/>
      <c r="D1217" s="76" t="s">
        <v>2047</v>
      </c>
      <c r="E1217" s="76" t="s">
        <v>2021</v>
      </c>
      <c r="F1217" s="76"/>
      <c r="G1217" s="76" t="s">
        <v>1693</v>
      </c>
      <c r="H1217" s="76" t="s">
        <v>1542</v>
      </c>
      <c r="I1217" s="76" t="s">
        <v>1693</v>
      </c>
      <c r="J1217" s="76"/>
      <c r="K1217" s="76"/>
      <c r="L1217" s="76"/>
      <c r="M1217" s="76"/>
      <c r="N1217" s="76"/>
    </row>
    <row r="1218" spans="2:14" hidden="1">
      <c r="B1218" s="76"/>
      <c r="C1218" s="76"/>
      <c r="D1218" s="76" t="s">
        <v>2054</v>
      </c>
      <c r="E1218" s="76" t="s">
        <v>2028</v>
      </c>
      <c r="F1218" s="76"/>
      <c r="G1218" s="76" t="s">
        <v>307</v>
      </c>
      <c r="H1218" s="76" t="s">
        <v>1582</v>
      </c>
      <c r="I1218" s="76" t="s">
        <v>1287</v>
      </c>
      <c r="J1218" s="76"/>
      <c r="K1218" s="76"/>
      <c r="L1218" s="76"/>
      <c r="M1218" s="76"/>
      <c r="N1218" s="76"/>
    </row>
    <row r="1219" spans="2:14" hidden="1">
      <c r="B1219" s="76"/>
      <c r="C1219" s="76"/>
      <c r="D1219" s="76" t="s">
        <v>2043</v>
      </c>
      <c r="E1219" s="76" t="s">
        <v>2017</v>
      </c>
      <c r="F1219" s="76"/>
      <c r="G1219" s="76" t="s">
        <v>1694</v>
      </c>
      <c r="H1219" s="76" t="s">
        <v>2040</v>
      </c>
      <c r="I1219" s="76" t="s">
        <v>1694</v>
      </c>
      <c r="J1219" s="76"/>
      <c r="K1219" s="76"/>
      <c r="L1219" s="76"/>
      <c r="M1219" s="76"/>
      <c r="N1219" s="76"/>
    </row>
    <row r="1220" spans="2:14" hidden="1">
      <c r="B1220" s="76"/>
      <c r="C1220" s="76"/>
      <c r="D1220" s="76" t="s">
        <v>2056</v>
      </c>
      <c r="E1220" s="76" t="s">
        <v>2030</v>
      </c>
      <c r="F1220" s="76"/>
      <c r="G1220" s="76" t="s">
        <v>1289</v>
      </c>
      <c r="H1220" s="76" t="s">
        <v>1462</v>
      </c>
      <c r="I1220" s="76" t="s">
        <v>1289</v>
      </c>
      <c r="J1220" s="76"/>
      <c r="K1220" s="76"/>
      <c r="L1220" s="76"/>
      <c r="M1220" s="76"/>
      <c r="N1220" s="76"/>
    </row>
    <row r="1221" spans="2:14" hidden="1">
      <c r="B1221" s="76"/>
      <c r="C1221" s="76"/>
      <c r="D1221" s="76" t="s">
        <v>2048</v>
      </c>
      <c r="E1221" s="76" t="s">
        <v>2022</v>
      </c>
      <c r="F1221" s="76"/>
      <c r="G1221" s="76" t="s">
        <v>310</v>
      </c>
      <c r="H1221" s="76" t="s">
        <v>1463</v>
      </c>
      <c r="I1221" s="76" t="s">
        <v>1747</v>
      </c>
      <c r="J1221" s="76"/>
      <c r="K1221" s="76"/>
      <c r="L1221" s="76"/>
      <c r="M1221" s="76"/>
      <c r="N1221" s="76"/>
    </row>
    <row r="1222" spans="2:14" hidden="1">
      <c r="B1222" s="76"/>
      <c r="C1222" s="76"/>
      <c r="D1222" s="76" t="s">
        <v>2060</v>
      </c>
      <c r="E1222" s="76" t="s">
        <v>1394</v>
      </c>
      <c r="F1222" s="76"/>
      <c r="G1222" s="76" t="s">
        <v>1290</v>
      </c>
      <c r="H1222" s="76" t="s">
        <v>1531</v>
      </c>
      <c r="I1222" s="76" t="s">
        <v>1290</v>
      </c>
      <c r="J1222" s="76"/>
      <c r="K1222" s="76"/>
      <c r="L1222" s="76"/>
      <c r="M1222" s="76"/>
      <c r="N1222" s="76"/>
    </row>
    <row r="1223" spans="2:14" hidden="1">
      <c r="B1223" s="76"/>
      <c r="C1223" s="76"/>
      <c r="D1223" s="76" t="s">
        <v>2059</v>
      </c>
      <c r="E1223" s="76" t="s">
        <v>1393</v>
      </c>
      <c r="F1223" s="76"/>
      <c r="G1223" s="76" t="s">
        <v>1291</v>
      </c>
      <c r="H1223" s="76" t="s">
        <v>1531</v>
      </c>
      <c r="I1223" s="76" t="s">
        <v>1291</v>
      </c>
      <c r="J1223" s="76"/>
      <c r="K1223" s="76"/>
      <c r="L1223" s="76"/>
      <c r="M1223" s="76"/>
      <c r="N1223" s="76"/>
    </row>
    <row r="1224" spans="2:14" hidden="1">
      <c r="B1224" s="76"/>
      <c r="C1224" s="76"/>
      <c r="D1224" s="76" t="s">
        <v>1472</v>
      </c>
      <c r="E1224" s="76" t="s">
        <v>1873</v>
      </c>
      <c r="F1224" s="76"/>
      <c r="G1224" s="76" t="s">
        <v>1292</v>
      </c>
      <c r="H1224" s="76" t="s">
        <v>1531</v>
      </c>
      <c r="I1224" s="76" t="s">
        <v>1292</v>
      </c>
      <c r="J1224" s="76"/>
      <c r="K1224" s="76"/>
      <c r="L1224" s="76"/>
      <c r="M1224" s="76"/>
      <c r="N1224" s="76"/>
    </row>
    <row r="1225" spans="2:14" hidden="1">
      <c r="B1225" s="76"/>
      <c r="C1225" s="76"/>
      <c r="D1225" s="76" t="s">
        <v>2062</v>
      </c>
      <c r="E1225" s="76" t="s">
        <v>1396</v>
      </c>
      <c r="F1225" s="76"/>
      <c r="G1225" s="76" t="s">
        <v>1293</v>
      </c>
      <c r="H1225" s="76" t="s">
        <v>1531</v>
      </c>
      <c r="I1225" s="76" t="s">
        <v>1293</v>
      </c>
      <c r="J1225" s="76"/>
      <c r="K1225" s="76"/>
      <c r="L1225" s="76"/>
      <c r="M1225" s="76"/>
      <c r="N1225" s="76"/>
    </row>
    <row r="1226" spans="2:14" hidden="1">
      <c r="B1226" s="76"/>
      <c r="C1226" s="76"/>
      <c r="D1226" s="76" t="s">
        <v>2076</v>
      </c>
      <c r="E1226" s="76" t="s">
        <v>1410</v>
      </c>
      <c r="F1226" s="76"/>
      <c r="G1226" s="76" t="s">
        <v>1695</v>
      </c>
      <c r="H1226" s="76" t="s">
        <v>1531</v>
      </c>
      <c r="I1226" s="76" t="s">
        <v>1695</v>
      </c>
      <c r="J1226" s="76"/>
      <c r="K1226" s="76"/>
      <c r="L1226" s="76"/>
      <c r="M1226" s="76"/>
      <c r="N1226" s="76"/>
    </row>
    <row r="1227" spans="2:14" hidden="1">
      <c r="B1227" s="76"/>
      <c r="C1227" s="76"/>
      <c r="D1227" s="76" t="s">
        <v>2067</v>
      </c>
      <c r="E1227" s="76" t="s">
        <v>1401</v>
      </c>
      <c r="F1227" s="76"/>
      <c r="G1227" s="76" t="s">
        <v>1696</v>
      </c>
      <c r="H1227" s="76" t="s">
        <v>1531</v>
      </c>
      <c r="I1227" s="76" t="s">
        <v>1696</v>
      </c>
      <c r="J1227" s="76"/>
      <c r="K1227" s="76"/>
      <c r="L1227" s="76"/>
      <c r="M1227" s="76"/>
      <c r="N1227" s="76"/>
    </row>
    <row r="1228" spans="2:14" hidden="1">
      <c r="B1228" s="76"/>
      <c r="C1228" s="76"/>
      <c r="D1228" s="76" t="s">
        <v>2077</v>
      </c>
      <c r="E1228" s="76" t="s">
        <v>1411</v>
      </c>
      <c r="F1228" s="76"/>
      <c r="G1228" s="76" t="s">
        <v>1697</v>
      </c>
      <c r="H1228" s="76" t="s">
        <v>1531</v>
      </c>
      <c r="I1228" s="76" t="s">
        <v>1697</v>
      </c>
      <c r="J1228" s="76"/>
      <c r="K1228" s="76"/>
      <c r="L1228" s="76"/>
      <c r="M1228" s="76"/>
      <c r="N1228" s="76"/>
    </row>
    <row r="1229" spans="2:14" hidden="1">
      <c r="B1229" s="76"/>
      <c r="C1229" s="76"/>
      <c r="D1229" s="76" t="s">
        <v>2066</v>
      </c>
      <c r="E1229" s="76" t="s">
        <v>1400</v>
      </c>
      <c r="F1229" s="76"/>
      <c r="G1229" s="76" t="s">
        <v>1698</v>
      </c>
      <c r="H1229" s="76" t="s">
        <v>1531</v>
      </c>
      <c r="I1229" s="76" t="s">
        <v>1698</v>
      </c>
      <c r="J1229" s="76"/>
      <c r="K1229" s="76"/>
      <c r="L1229" s="76"/>
      <c r="M1229" s="76"/>
      <c r="N1229" s="76"/>
    </row>
    <row r="1230" spans="2:14" hidden="1">
      <c r="B1230" s="76"/>
      <c r="C1230" s="76"/>
      <c r="D1230" s="76" t="s">
        <v>2065</v>
      </c>
      <c r="E1230" s="76" t="s">
        <v>1399</v>
      </c>
      <c r="F1230" s="76"/>
      <c r="G1230" s="76" t="s">
        <v>1699</v>
      </c>
      <c r="H1230" s="76" t="s">
        <v>1531</v>
      </c>
      <c r="I1230" s="76" t="s">
        <v>1699</v>
      </c>
      <c r="J1230" s="76"/>
      <c r="K1230" s="76"/>
      <c r="L1230" s="76"/>
      <c r="M1230" s="76"/>
      <c r="N1230" s="76"/>
    </row>
    <row r="1231" spans="2:14" hidden="1">
      <c r="B1231" s="76"/>
      <c r="C1231" s="76"/>
      <c r="D1231" s="76" t="s">
        <v>2068</v>
      </c>
      <c r="E1231" s="76" t="s">
        <v>1402</v>
      </c>
      <c r="F1231" s="76"/>
      <c r="G1231" s="76" t="s">
        <v>1700</v>
      </c>
      <c r="H1231" s="76" t="s">
        <v>1531</v>
      </c>
      <c r="I1231" s="76" t="s">
        <v>1700</v>
      </c>
      <c r="J1231" s="76"/>
      <c r="K1231" s="76"/>
      <c r="L1231" s="76"/>
      <c r="M1231" s="76"/>
      <c r="N1231" s="76"/>
    </row>
    <row r="1232" spans="2:14" hidden="1">
      <c r="B1232" s="76"/>
      <c r="C1232" s="76"/>
      <c r="D1232" s="76" t="s">
        <v>2071</v>
      </c>
      <c r="E1232" s="76" t="s">
        <v>1405</v>
      </c>
      <c r="F1232" s="76"/>
      <c r="G1232" s="76" t="s">
        <v>1701</v>
      </c>
      <c r="H1232" s="76" t="s">
        <v>1531</v>
      </c>
      <c r="I1232" s="76" t="s">
        <v>1701</v>
      </c>
      <c r="J1232" s="76"/>
      <c r="K1232" s="76"/>
      <c r="L1232" s="76"/>
      <c r="M1232" s="76"/>
      <c r="N1232" s="76"/>
    </row>
    <row r="1233" spans="2:14" hidden="1">
      <c r="B1233" s="76"/>
      <c r="C1233" s="76"/>
      <c r="D1233" s="76" t="s">
        <v>2072</v>
      </c>
      <c r="E1233" s="76" t="s">
        <v>1406</v>
      </c>
      <c r="F1233" s="76"/>
      <c r="G1233" s="76" t="s">
        <v>1702</v>
      </c>
      <c r="H1233" s="76" t="s">
        <v>1531</v>
      </c>
      <c r="I1233" s="76" t="s">
        <v>1702</v>
      </c>
      <c r="J1233" s="76"/>
      <c r="K1233" s="76"/>
      <c r="L1233" s="76"/>
      <c r="M1233" s="76"/>
      <c r="N1233" s="76"/>
    </row>
    <row r="1234" spans="2:14" hidden="1">
      <c r="B1234" s="76"/>
      <c r="C1234" s="76"/>
      <c r="D1234" s="76" t="s">
        <v>2073</v>
      </c>
      <c r="E1234" s="76" t="s">
        <v>1407</v>
      </c>
      <c r="F1234" s="76"/>
      <c r="G1234" s="76" t="s">
        <v>1703</v>
      </c>
      <c r="H1234" s="76" t="s">
        <v>1531</v>
      </c>
      <c r="I1234" s="76" t="s">
        <v>1703</v>
      </c>
      <c r="J1234" s="76"/>
      <c r="K1234" s="76"/>
      <c r="L1234" s="76"/>
      <c r="M1234" s="76"/>
      <c r="N1234" s="76"/>
    </row>
    <row r="1235" spans="2:14" hidden="1">
      <c r="B1235" s="76"/>
      <c r="C1235" s="76"/>
      <c r="D1235" s="76" t="s">
        <v>2074</v>
      </c>
      <c r="E1235" s="76" t="s">
        <v>1408</v>
      </c>
      <c r="F1235" s="76"/>
      <c r="G1235" s="76" t="s">
        <v>1704</v>
      </c>
      <c r="H1235" s="76" t="s">
        <v>1531</v>
      </c>
      <c r="I1235" s="76" t="s">
        <v>1704</v>
      </c>
      <c r="J1235" s="76"/>
      <c r="K1235" s="76"/>
      <c r="L1235" s="76"/>
      <c r="M1235" s="76"/>
      <c r="N1235" s="76"/>
    </row>
    <row r="1236" spans="2:14" hidden="1">
      <c r="B1236" s="76"/>
      <c r="C1236" s="76"/>
      <c r="D1236" s="76" t="s">
        <v>2069</v>
      </c>
      <c r="E1236" s="76" t="s">
        <v>1403</v>
      </c>
      <c r="F1236" s="76"/>
      <c r="G1236" s="76" t="s">
        <v>1705</v>
      </c>
      <c r="H1236" s="76" t="s">
        <v>1531</v>
      </c>
      <c r="I1236" s="76" t="s">
        <v>1705</v>
      </c>
      <c r="J1236" s="76"/>
      <c r="K1236" s="76"/>
      <c r="L1236" s="76"/>
      <c r="M1236" s="76"/>
      <c r="N1236" s="76"/>
    </row>
    <row r="1237" spans="2:14" hidden="1">
      <c r="B1237" s="76"/>
      <c r="C1237" s="76"/>
      <c r="D1237" s="76" t="s">
        <v>2063</v>
      </c>
      <c r="E1237" s="76" t="s">
        <v>1397</v>
      </c>
      <c r="F1237" s="76"/>
      <c r="G1237" s="76" t="s">
        <v>1706</v>
      </c>
      <c r="H1237" s="76" t="s">
        <v>1531</v>
      </c>
      <c r="I1237" s="76" t="s">
        <v>1706</v>
      </c>
      <c r="J1237" s="76"/>
      <c r="K1237" s="76"/>
      <c r="L1237" s="76"/>
      <c r="M1237" s="76"/>
      <c r="N1237" s="76"/>
    </row>
    <row r="1238" spans="2:14" hidden="1">
      <c r="B1238" s="76"/>
      <c r="C1238" s="76"/>
      <c r="D1238" s="76" t="s">
        <v>2075</v>
      </c>
      <c r="E1238" s="76" t="s">
        <v>1409</v>
      </c>
      <c r="F1238" s="76"/>
      <c r="G1238" s="76" t="s">
        <v>1707</v>
      </c>
      <c r="H1238" s="76" t="s">
        <v>1531</v>
      </c>
      <c r="I1238" s="76" t="s">
        <v>1707</v>
      </c>
      <c r="J1238" s="76"/>
      <c r="K1238" s="76"/>
      <c r="L1238" s="76"/>
      <c r="M1238" s="76"/>
      <c r="N1238" s="76"/>
    </row>
    <row r="1239" spans="2:14" hidden="1">
      <c r="B1239" s="76"/>
      <c r="C1239" s="76"/>
      <c r="D1239" s="76" t="s">
        <v>2078</v>
      </c>
      <c r="E1239" s="76" t="s">
        <v>1412</v>
      </c>
      <c r="F1239" s="76"/>
      <c r="G1239" s="76" t="s">
        <v>1708</v>
      </c>
      <c r="H1239" s="76" t="s">
        <v>1531</v>
      </c>
      <c r="I1239" s="76" t="s">
        <v>1708</v>
      </c>
      <c r="J1239" s="76"/>
      <c r="K1239" s="76"/>
      <c r="L1239" s="76"/>
      <c r="M1239" s="76"/>
      <c r="N1239" s="76"/>
    </row>
    <row r="1240" spans="2:14" hidden="1">
      <c r="B1240" s="76"/>
      <c r="C1240" s="76"/>
      <c r="D1240" s="76" t="s">
        <v>2079</v>
      </c>
      <c r="E1240" s="76" t="s">
        <v>1413</v>
      </c>
      <c r="F1240" s="76"/>
      <c r="G1240" s="76" t="s">
        <v>1329</v>
      </c>
      <c r="H1240" s="76" t="s">
        <v>1531</v>
      </c>
      <c r="I1240" s="76" t="s">
        <v>1329</v>
      </c>
      <c r="J1240" s="76"/>
      <c r="K1240" s="76"/>
      <c r="L1240" s="76"/>
      <c r="M1240" s="76"/>
      <c r="N1240" s="76"/>
    </row>
    <row r="1241" spans="2:14" hidden="1">
      <c r="B1241" s="76"/>
      <c r="C1241" s="76"/>
      <c r="D1241" s="76" t="s">
        <v>1440</v>
      </c>
      <c r="E1241" s="76" t="s">
        <v>1841</v>
      </c>
      <c r="F1241" s="76"/>
      <c r="G1241" s="76" t="s">
        <v>1744</v>
      </c>
      <c r="H1241" s="76" t="s">
        <v>1531</v>
      </c>
      <c r="I1241" s="76" t="s">
        <v>1744</v>
      </c>
      <c r="J1241" s="76"/>
      <c r="K1241" s="76"/>
      <c r="L1241" s="76"/>
      <c r="M1241" s="76"/>
      <c r="N1241" s="76"/>
    </row>
    <row r="1242" spans="2:14" hidden="1">
      <c r="B1242" s="76"/>
      <c r="C1242" s="76"/>
      <c r="D1242" s="76" t="s">
        <v>1509</v>
      </c>
      <c r="E1242" s="76" t="s">
        <v>1910</v>
      </c>
      <c r="F1242" s="76"/>
      <c r="G1242" s="76" t="s">
        <v>1745</v>
      </c>
      <c r="H1242" s="76" t="s">
        <v>1531</v>
      </c>
      <c r="I1242" s="76" t="s">
        <v>1745</v>
      </c>
      <c r="J1242" s="76"/>
      <c r="K1242" s="76"/>
      <c r="L1242" s="76"/>
      <c r="M1242" s="76"/>
      <c r="N1242" s="76"/>
    </row>
    <row r="1243" spans="2:14" hidden="1">
      <c r="B1243" s="76"/>
      <c r="C1243" s="76"/>
      <c r="D1243" s="76" t="s">
        <v>2082</v>
      </c>
      <c r="E1243" s="76" t="s">
        <v>1416</v>
      </c>
      <c r="F1243" s="76"/>
      <c r="G1243" s="76" t="s">
        <v>1330</v>
      </c>
      <c r="H1243" s="76" t="s">
        <v>1531</v>
      </c>
      <c r="I1243" s="76" t="s">
        <v>1330</v>
      </c>
      <c r="J1243" s="76"/>
      <c r="K1243" s="76"/>
      <c r="L1243" s="76"/>
      <c r="M1243" s="76"/>
      <c r="N1243" s="76"/>
    </row>
    <row r="1244" spans="2:14" hidden="1">
      <c r="B1244" s="76"/>
      <c r="C1244" s="76"/>
      <c r="D1244" s="76" t="s">
        <v>2080</v>
      </c>
      <c r="E1244" s="76" t="s">
        <v>1414</v>
      </c>
      <c r="F1244" s="76"/>
      <c r="G1244" s="76" t="s">
        <v>1331</v>
      </c>
      <c r="H1244" s="76" t="s">
        <v>1531</v>
      </c>
      <c r="I1244" s="76" t="s">
        <v>1331</v>
      </c>
      <c r="J1244" s="76"/>
      <c r="K1244" s="76"/>
      <c r="L1244" s="76"/>
      <c r="M1244" s="76"/>
      <c r="N1244" s="76"/>
    </row>
    <row r="1245" spans="2:14" hidden="1">
      <c r="B1245" s="76"/>
      <c r="C1245" s="76"/>
      <c r="D1245" s="76" t="s">
        <v>2081</v>
      </c>
      <c r="E1245" s="76" t="s">
        <v>1415</v>
      </c>
      <c r="F1245" s="76"/>
      <c r="G1245" s="76" t="s">
        <v>1332</v>
      </c>
      <c r="H1245" s="76" t="s">
        <v>1531</v>
      </c>
      <c r="I1245" s="76" t="s">
        <v>1332</v>
      </c>
      <c r="J1245" s="76"/>
      <c r="K1245" s="76"/>
      <c r="L1245" s="76"/>
      <c r="M1245" s="76"/>
      <c r="N1245" s="76"/>
    </row>
    <row r="1246" spans="2:14" hidden="1">
      <c r="B1246" s="76"/>
      <c r="C1246" s="76"/>
      <c r="D1246" s="76" t="s">
        <v>2083</v>
      </c>
      <c r="E1246" s="76" t="s">
        <v>1417</v>
      </c>
      <c r="F1246" s="76"/>
      <c r="G1246" s="76" t="s">
        <v>486</v>
      </c>
      <c r="H1246" s="76" t="s">
        <v>1474</v>
      </c>
      <c r="I1246" s="76" t="s">
        <v>1743</v>
      </c>
      <c r="J1246" s="76"/>
      <c r="K1246" s="76"/>
      <c r="L1246" s="76"/>
      <c r="M1246" s="76"/>
      <c r="N1246" s="76"/>
    </row>
    <row r="1247" spans="2:14" hidden="1">
      <c r="B1247" s="76"/>
      <c r="C1247" s="76"/>
      <c r="D1247" s="76" t="s">
        <v>2090</v>
      </c>
      <c r="E1247" s="76" t="s">
        <v>1424</v>
      </c>
      <c r="F1247" s="76"/>
      <c r="G1247" s="76" t="s">
        <v>309</v>
      </c>
      <c r="H1247" s="76" t="s">
        <v>1463</v>
      </c>
      <c r="I1247" s="76" t="s">
        <v>1747</v>
      </c>
      <c r="J1247" s="76"/>
      <c r="K1247" s="76"/>
      <c r="L1247" s="76"/>
      <c r="M1247" s="76"/>
      <c r="N1247" s="76"/>
    </row>
    <row r="1248" spans="2:14" hidden="1">
      <c r="B1248" s="76"/>
      <c r="C1248" s="76"/>
      <c r="D1248" s="76" t="s">
        <v>2084</v>
      </c>
      <c r="E1248" s="76" t="s">
        <v>1418</v>
      </c>
      <c r="F1248" s="76"/>
      <c r="G1248" s="76" t="s">
        <v>217</v>
      </c>
      <c r="H1248" s="76" t="s">
        <v>2066</v>
      </c>
      <c r="I1248" s="76" t="s">
        <v>1742</v>
      </c>
      <c r="J1248" s="76"/>
      <c r="K1248" s="76"/>
      <c r="L1248" s="76"/>
      <c r="M1248" s="76"/>
      <c r="N1248" s="76"/>
    </row>
    <row r="1249" spans="2:14" hidden="1">
      <c r="B1249" s="76"/>
      <c r="C1249" s="76"/>
      <c r="D1249" s="76" t="s">
        <v>2086</v>
      </c>
      <c r="E1249" s="76" t="s">
        <v>1420</v>
      </c>
      <c r="F1249" s="76"/>
      <c r="G1249" s="76" t="s">
        <v>1742</v>
      </c>
      <c r="H1249" s="76" t="s">
        <v>2066</v>
      </c>
      <c r="I1249" s="76" t="s">
        <v>1742</v>
      </c>
      <c r="J1249" s="76"/>
      <c r="K1249" s="76"/>
      <c r="L1249" s="76"/>
      <c r="M1249" s="76"/>
      <c r="N1249" s="76"/>
    </row>
    <row r="1250" spans="2:14" hidden="1">
      <c r="B1250" s="76"/>
      <c r="C1250" s="76"/>
      <c r="D1250" s="76" t="s">
        <v>2089</v>
      </c>
      <c r="E1250" s="76" t="s">
        <v>1423</v>
      </c>
      <c r="F1250" s="76"/>
      <c r="G1250" s="76" t="s">
        <v>316</v>
      </c>
      <c r="H1250" s="76" t="s">
        <v>1474</v>
      </c>
      <c r="I1250" s="76" t="s">
        <v>1743</v>
      </c>
      <c r="J1250" s="76"/>
      <c r="K1250" s="76"/>
      <c r="L1250" s="76"/>
      <c r="M1250" s="76"/>
      <c r="N1250" s="76"/>
    </row>
    <row r="1251" spans="2:14" hidden="1">
      <c r="B1251" s="76"/>
      <c r="C1251" s="76"/>
      <c r="D1251" s="76" t="s">
        <v>2087</v>
      </c>
      <c r="E1251" s="76" t="s">
        <v>1421</v>
      </c>
      <c r="F1251" s="76"/>
      <c r="G1251" s="76" t="s">
        <v>1294</v>
      </c>
      <c r="H1251" s="76" t="s">
        <v>1474</v>
      </c>
      <c r="I1251" s="76" t="s">
        <v>1294</v>
      </c>
      <c r="J1251" s="76"/>
      <c r="K1251" s="76"/>
      <c r="L1251" s="76"/>
      <c r="M1251" s="76"/>
      <c r="N1251" s="76"/>
    </row>
    <row r="1252" spans="2:14" hidden="1">
      <c r="B1252" s="76"/>
      <c r="C1252" s="76"/>
      <c r="D1252" s="76" t="s">
        <v>2088</v>
      </c>
      <c r="E1252" s="76" t="s">
        <v>1422</v>
      </c>
      <c r="F1252" s="76"/>
      <c r="G1252" s="76" t="s">
        <v>218</v>
      </c>
      <c r="H1252" s="76" t="s">
        <v>1474</v>
      </c>
      <c r="I1252" s="76" t="s">
        <v>1294</v>
      </c>
      <c r="J1252" s="76"/>
      <c r="K1252" s="76"/>
      <c r="L1252" s="76"/>
      <c r="M1252" s="76"/>
      <c r="N1252" s="76"/>
    </row>
    <row r="1253" spans="2:14" hidden="1">
      <c r="B1253" s="76"/>
      <c r="C1253" s="76"/>
      <c r="D1253" s="76" t="s">
        <v>2091</v>
      </c>
      <c r="E1253" s="76" t="s">
        <v>1425</v>
      </c>
      <c r="F1253" s="76"/>
      <c r="G1253" s="76" t="s">
        <v>1743</v>
      </c>
      <c r="H1253" s="76" t="s">
        <v>1474</v>
      </c>
      <c r="I1253" s="76" t="s">
        <v>1743</v>
      </c>
      <c r="J1253" s="76"/>
      <c r="K1253" s="76"/>
      <c r="L1253" s="76"/>
      <c r="M1253" s="76"/>
      <c r="N1253" s="76"/>
    </row>
    <row r="1254" spans="2:14" hidden="1">
      <c r="B1254" s="76"/>
      <c r="C1254" s="76"/>
      <c r="D1254" s="76" t="s">
        <v>1497</v>
      </c>
      <c r="E1254" s="76" t="s">
        <v>1898</v>
      </c>
      <c r="F1254" s="76"/>
      <c r="G1254" s="76" t="s">
        <v>317</v>
      </c>
      <c r="H1254" s="76" t="s">
        <v>1474</v>
      </c>
      <c r="I1254" s="76" t="s">
        <v>1743</v>
      </c>
      <c r="J1254" s="76"/>
      <c r="K1254" s="76"/>
      <c r="L1254" s="76"/>
      <c r="M1254" s="76"/>
      <c r="N1254" s="76"/>
    </row>
    <row r="1255" spans="2:14" hidden="1">
      <c r="B1255" s="76"/>
      <c r="C1255" s="76"/>
      <c r="D1255" s="76" t="s">
        <v>2093</v>
      </c>
      <c r="E1255" s="76" t="s">
        <v>1427</v>
      </c>
      <c r="F1255" s="76"/>
      <c r="G1255" s="107" t="s">
        <v>669</v>
      </c>
      <c r="H1255" s="76"/>
      <c r="I1255" s="76"/>
      <c r="J1255" s="76"/>
      <c r="K1255" s="76"/>
      <c r="L1255" s="76"/>
      <c r="M1255" s="76"/>
      <c r="N1255" s="76"/>
    </row>
    <row r="1256" spans="2:14" hidden="1">
      <c r="B1256" s="76"/>
      <c r="C1256" s="76"/>
      <c r="D1256" s="76" t="s">
        <v>2094</v>
      </c>
      <c r="E1256" s="76" t="s">
        <v>1428</v>
      </c>
      <c r="F1256" s="76"/>
      <c r="G1256" s="76" t="s">
        <v>318</v>
      </c>
      <c r="H1256" s="76" t="s">
        <v>2082</v>
      </c>
      <c r="I1256" s="76" t="s">
        <v>1740</v>
      </c>
      <c r="J1256" s="76"/>
      <c r="K1256" s="76"/>
      <c r="L1256" s="76"/>
      <c r="M1256" s="76"/>
      <c r="N1256" s="76"/>
    </row>
    <row r="1257" spans="2:14" hidden="1">
      <c r="B1257" s="76"/>
      <c r="C1257" s="76"/>
      <c r="D1257" s="76" t="s">
        <v>2096</v>
      </c>
      <c r="E1257" s="76" t="s">
        <v>1430</v>
      </c>
      <c r="F1257" s="76"/>
      <c r="G1257" s="76" t="s">
        <v>319</v>
      </c>
      <c r="H1257" s="76" t="s">
        <v>2082</v>
      </c>
      <c r="I1257" s="76" t="s">
        <v>1740</v>
      </c>
      <c r="J1257" s="76"/>
      <c r="K1257" s="76"/>
      <c r="L1257" s="76"/>
      <c r="M1257" s="76"/>
      <c r="N1257" s="76"/>
    </row>
    <row r="1258" spans="2:14" hidden="1">
      <c r="B1258" s="76"/>
      <c r="C1258" s="76"/>
      <c r="D1258" s="76" t="s">
        <v>2097</v>
      </c>
      <c r="E1258" s="76" t="s">
        <v>1431</v>
      </c>
      <c r="F1258" s="76"/>
      <c r="G1258" s="76" t="s">
        <v>320</v>
      </c>
      <c r="H1258" s="76" t="s">
        <v>2082</v>
      </c>
      <c r="I1258" s="76" t="s">
        <v>1740</v>
      </c>
      <c r="J1258" s="76"/>
      <c r="K1258" s="76"/>
      <c r="L1258" s="76"/>
      <c r="M1258" s="76"/>
      <c r="N1258" s="76"/>
    </row>
    <row r="1259" spans="2:14" hidden="1">
      <c r="B1259" s="76"/>
      <c r="C1259" s="76"/>
      <c r="D1259" s="76" t="s">
        <v>2098</v>
      </c>
      <c r="E1259" s="76" t="s">
        <v>1432</v>
      </c>
      <c r="F1259" s="76"/>
      <c r="G1259" s="76" t="s">
        <v>1678</v>
      </c>
      <c r="H1259" s="76" t="s">
        <v>1474</v>
      </c>
      <c r="I1259" s="76" t="s">
        <v>1678</v>
      </c>
      <c r="J1259" s="76"/>
      <c r="K1259" s="76"/>
      <c r="L1259" s="76"/>
      <c r="M1259" s="76"/>
      <c r="N1259" s="76"/>
    </row>
    <row r="1260" spans="2:14" hidden="1">
      <c r="B1260" s="76"/>
      <c r="C1260" s="76"/>
      <c r="D1260" s="76"/>
      <c r="E1260" s="76"/>
      <c r="F1260" s="76"/>
      <c r="G1260" s="76" t="s">
        <v>219</v>
      </c>
      <c r="H1260" s="76" t="s">
        <v>1474</v>
      </c>
      <c r="I1260" s="76" t="s">
        <v>1678</v>
      </c>
      <c r="J1260" s="76"/>
      <c r="K1260" s="76"/>
      <c r="L1260" s="76"/>
      <c r="M1260" s="76"/>
      <c r="N1260" s="76"/>
    </row>
    <row r="1261" spans="2:14" hidden="1">
      <c r="B1261" s="76"/>
      <c r="C1261" s="76"/>
      <c r="D1261" s="76"/>
      <c r="E1261" s="76"/>
      <c r="F1261" s="76"/>
      <c r="G1261" s="76" t="s">
        <v>22</v>
      </c>
      <c r="H1261" s="76" t="s">
        <v>2082</v>
      </c>
      <c r="I1261" s="76" t="s">
        <v>22</v>
      </c>
      <c r="J1261" s="76"/>
      <c r="K1261" s="76"/>
      <c r="L1261" s="76"/>
      <c r="M1261" s="76"/>
      <c r="N1261" s="76"/>
    </row>
    <row r="1262" spans="2:14" hidden="1">
      <c r="B1262" s="76"/>
      <c r="C1262" s="76"/>
      <c r="D1262" s="76"/>
      <c r="E1262" s="76"/>
      <c r="F1262" s="76"/>
      <c r="G1262" s="76" t="s">
        <v>1304</v>
      </c>
      <c r="H1262" s="76" t="s">
        <v>1474</v>
      </c>
      <c r="I1262" s="76" t="s">
        <v>1304</v>
      </c>
      <c r="J1262" s="76"/>
      <c r="K1262" s="76"/>
      <c r="L1262" s="76"/>
      <c r="M1262" s="76"/>
      <c r="N1262" s="76"/>
    </row>
    <row r="1263" spans="2:14" hidden="1">
      <c r="B1263" s="76"/>
      <c r="C1263" s="76"/>
      <c r="D1263" s="76"/>
      <c r="E1263" s="76"/>
      <c r="F1263" s="76"/>
      <c r="G1263" s="76" t="s">
        <v>1746</v>
      </c>
      <c r="H1263" s="76" t="s">
        <v>1474</v>
      </c>
      <c r="I1263" s="76" t="s">
        <v>1304</v>
      </c>
      <c r="J1263" s="76"/>
      <c r="K1263" s="76"/>
      <c r="L1263" s="76"/>
      <c r="M1263" s="76"/>
      <c r="N1263" s="76"/>
    </row>
    <row r="1264" spans="2:14" hidden="1">
      <c r="G1264" s="76" t="s">
        <v>1679</v>
      </c>
      <c r="H1264" s="76" t="s">
        <v>2082</v>
      </c>
      <c r="I1264" s="76" t="s">
        <v>1679</v>
      </c>
    </row>
    <row r="1265" spans="7:9" hidden="1">
      <c r="G1265" s="76" t="s">
        <v>1740</v>
      </c>
      <c r="H1265" s="76" t="s">
        <v>2082</v>
      </c>
      <c r="I1265" s="76" t="s">
        <v>1740</v>
      </c>
    </row>
    <row r="1266" spans="7:9" hidden="1">
      <c r="G1266" s="76" t="s">
        <v>1680</v>
      </c>
      <c r="H1266" s="76" t="s">
        <v>1488</v>
      </c>
      <c r="I1266" s="76" t="s">
        <v>24</v>
      </c>
    </row>
    <row r="1267" spans="7:9" hidden="1">
      <c r="G1267" s="76" t="s">
        <v>24</v>
      </c>
      <c r="H1267" s="76" t="s">
        <v>1488</v>
      </c>
      <c r="I1267" s="76" t="s">
        <v>24</v>
      </c>
    </row>
    <row r="1268" spans="7:9" hidden="1">
      <c r="G1268" s="76" t="s">
        <v>28</v>
      </c>
      <c r="H1268" s="76" t="s">
        <v>2082</v>
      </c>
      <c r="I1268" s="76" t="s">
        <v>28</v>
      </c>
    </row>
    <row r="1269" spans="7:9" hidden="1">
      <c r="G1269" s="76" t="s">
        <v>1305</v>
      </c>
      <c r="H1269" s="76" t="s">
        <v>1474</v>
      </c>
      <c r="I1269" s="76" t="s">
        <v>1305</v>
      </c>
    </row>
    <row r="1270" spans="7:9" hidden="1">
      <c r="G1270" s="76" t="s">
        <v>25</v>
      </c>
      <c r="H1270" s="76" t="s">
        <v>1542</v>
      </c>
      <c r="I1270" s="76" t="s">
        <v>25</v>
      </c>
    </row>
    <row r="1271" spans="7:9" hidden="1">
      <c r="G1271" s="76" t="s">
        <v>321</v>
      </c>
      <c r="H1271" s="76" t="s">
        <v>1474</v>
      </c>
      <c r="I1271" s="76" t="s">
        <v>1737</v>
      </c>
    </row>
    <row r="1272" spans="7:9" hidden="1">
      <c r="G1272" s="76" t="s">
        <v>1737</v>
      </c>
      <c r="H1272" s="76" t="s">
        <v>1474</v>
      </c>
      <c r="I1272" s="76" t="s">
        <v>1737</v>
      </c>
    </row>
    <row r="1273" spans="7:9" hidden="1">
      <c r="G1273" s="76" t="s">
        <v>1307</v>
      </c>
      <c r="H1273" s="76" t="s">
        <v>2082</v>
      </c>
      <c r="I1273" s="76" t="s">
        <v>1307</v>
      </c>
    </row>
    <row r="1274" spans="7:9" hidden="1">
      <c r="G1274" s="76" t="s">
        <v>322</v>
      </c>
      <c r="H1274" s="76" t="s">
        <v>1474</v>
      </c>
      <c r="I1274" s="76" t="s">
        <v>1737</v>
      </c>
    </row>
    <row r="1275" spans="7:9" hidden="1">
      <c r="G1275" s="76" t="s">
        <v>1308</v>
      </c>
      <c r="H1275" s="76" t="s">
        <v>1448</v>
      </c>
      <c r="I1275" s="76" t="s">
        <v>1308</v>
      </c>
    </row>
    <row r="1276" spans="7:9" hidden="1">
      <c r="G1276" s="76" t="s">
        <v>323</v>
      </c>
      <c r="H1276" s="76" t="s">
        <v>1448</v>
      </c>
      <c r="I1276" s="76" t="s">
        <v>1308</v>
      </c>
    </row>
    <row r="1277" spans="7:9" hidden="1">
      <c r="G1277" s="76" t="s">
        <v>324</v>
      </c>
      <c r="H1277" s="76" t="s">
        <v>1448</v>
      </c>
      <c r="I1277" s="76" t="s">
        <v>1308</v>
      </c>
    </row>
    <row r="1278" spans="7:9" hidden="1">
      <c r="G1278" s="76" t="s">
        <v>30</v>
      </c>
      <c r="H1278" s="76" t="s">
        <v>1474</v>
      </c>
      <c r="I1278" s="76" t="s">
        <v>30</v>
      </c>
    </row>
    <row r="1279" spans="7:9" hidden="1">
      <c r="G1279" s="76" t="s">
        <v>1309</v>
      </c>
      <c r="H1279" s="76" t="s">
        <v>2040</v>
      </c>
      <c r="I1279" s="76" t="s">
        <v>26</v>
      </c>
    </row>
    <row r="1280" spans="7:9" hidden="1">
      <c r="G1280" s="76" t="s">
        <v>26</v>
      </c>
      <c r="H1280" s="76" t="s">
        <v>2040</v>
      </c>
      <c r="I1280" s="76" t="s">
        <v>26</v>
      </c>
    </row>
    <row r="1281" spans="7:9" hidden="1">
      <c r="G1281" s="76" t="s">
        <v>813</v>
      </c>
      <c r="H1281" s="76" t="s">
        <v>1488</v>
      </c>
      <c r="I1281" s="76" t="s">
        <v>1680</v>
      </c>
    </row>
    <row r="1282" spans="7:9" hidden="1">
      <c r="G1282" s="76" t="s">
        <v>814</v>
      </c>
      <c r="H1282" s="76" t="s">
        <v>1488</v>
      </c>
      <c r="I1282" s="76" t="s">
        <v>1680</v>
      </c>
    </row>
    <row r="1283" spans="7:9" hidden="1">
      <c r="G1283" s="76" t="s">
        <v>1681</v>
      </c>
      <c r="H1283" s="76" t="s">
        <v>2095</v>
      </c>
      <c r="I1283" s="76" t="s">
        <v>1681</v>
      </c>
    </row>
    <row r="1284" spans="7:9" hidden="1">
      <c r="G1284" s="76" t="s">
        <v>35</v>
      </c>
      <c r="H1284" s="76" t="s">
        <v>2082</v>
      </c>
      <c r="I1284" s="76" t="s">
        <v>35</v>
      </c>
    </row>
    <row r="1285" spans="7:9" hidden="1">
      <c r="G1285" s="76" t="s">
        <v>1682</v>
      </c>
      <c r="H1285" s="76" t="s">
        <v>1543</v>
      </c>
      <c r="I1285" s="76" t="s">
        <v>1682</v>
      </c>
    </row>
    <row r="1286" spans="7:9" hidden="1">
      <c r="G1286" s="76" t="s">
        <v>27</v>
      </c>
      <c r="H1286" s="76" t="s">
        <v>1543</v>
      </c>
      <c r="I1286" s="76" t="s">
        <v>1682</v>
      </c>
    </row>
    <row r="1287" spans="7:9" hidden="1">
      <c r="G1287" s="76" t="s">
        <v>325</v>
      </c>
      <c r="H1287" s="76" t="s">
        <v>1474</v>
      </c>
      <c r="I1287" s="76" t="s">
        <v>1738</v>
      </c>
    </row>
    <row r="1288" spans="7:9" hidden="1">
      <c r="G1288" s="107" t="s">
        <v>1738</v>
      </c>
      <c r="H1288" s="76" t="s">
        <v>1474</v>
      </c>
      <c r="I1288" s="76" t="s">
        <v>1738</v>
      </c>
    </row>
    <row r="1289" spans="7:9" hidden="1">
      <c r="G1289" s="76" t="s">
        <v>326</v>
      </c>
      <c r="H1289" s="76" t="s">
        <v>1474</v>
      </c>
      <c r="I1289" s="76" t="s">
        <v>1738</v>
      </c>
    </row>
    <row r="1290" spans="7:9" hidden="1">
      <c r="G1290" s="107" t="s">
        <v>669</v>
      </c>
      <c r="H1290" s="76"/>
      <c r="I1290" s="76"/>
    </row>
    <row r="1291" spans="7:9" hidden="1">
      <c r="G1291" s="76" t="s">
        <v>1310</v>
      </c>
      <c r="H1291" s="76" t="s">
        <v>2082</v>
      </c>
      <c r="I1291" s="76" t="s">
        <v>1310</v>
      </c>
    </row>
    <row r="1292" spans="7:9" hidden="1">
      <c r="G1292" s="76" t="s">
        <v>1311</v>
      </c>
      <c r="H1292" s="76" t="s">
        <v>1474</v>
      </c>
      <c r="I1292" s="76" t="s">
        <v>1311</v>
      </c>
    </row>
    <row r="1293" spans="7:9" hidden="1">
      <c r="G1293" s="76" t="s">
        <v>1683</v>
      </c>
      <c r="H1293" s="76" t="s">
        <v>1474</v>
      </c>
      <c r="I1293" s="76" t="s">
        <v>1683</v>
      </c>
    </row>
    <row r="1294" spans="7:9" hidden="1">
      <c r="G1294" s="76" t="s">
        <v>1690</v>
      </c>
      <c r="H1294" s="76" t="s">
        <v>1474</v>
      </c>
      <c r="I1294" s="76" t="s">
        <v>1690</v>
      </c>
    </row>
    <row r="1295" spans="7:9" hidden="1">
      <c r="G1295" s="76" t="s">
        <v>1684</v>
      </c>
      <c r="H1295" s="76" t="s">
        <v>1474</v>
      </c>
      <c r="I1295" s="76" t="s">
        <v>1684</v>
      </c>
    </row>
    <row r="1296" spans="7:9" hidden="1">
      <c r="G1296" s="76" t="s">
        <v>221</v>
      </c>
      <c r="H1296" s="76" t="s">
        <v>1474</v>
      </c>
      <c r="I1296" s="76" t="s">
        <v>1684</v>
      </c>
    </row>
    <row r="1297" spans="7:9" hidden="1">
      <c r="G1297" s="76" t="s">
        <v>1685</v>
      </c>
      <c r="H1297" s="76" t="s">
        <v>1474</v>
      </c>
      <c r="I1297" s="76" t="s">
        <v>1685</v>
      </c>
    </row>
    <row r="1298" spans="7:9" hidden="1">
      <c r="G1298" s="76" t="s">
        <v>328</v>
      </c>
      <c r="H1298" s="76" t="s">
        <v>2082</v>
      </c>
      <c r="I1298" s="76" t="s">
        <v>1312</v>
      </c>
    </row>
    <row r="1299" spans="7:9" hidden="1">
      <c r="G1299" s="76" t="s">
        <v>1312</v>
      </c>
      <c r="H1299" s="76" t="s">
        <v>2082</v>
      </c>
      <c r="I1299" s="76" t="s">
        <v>1312</v>
      </c>
    </row>
    <row r="1300" spans="7:9" hidden="1">
      <c r="G1300" s="76" t="s">
        <v>327</v>
      </c>
      <c r="H1300" s="76" t="s">
        <v>2082</v>
      </c>
      <c r="I1300" s="76" t="s">
        <v>1312</v>
      </c>
    </row>
    <row r="1301" spans="7:9" hidden="1">
      <c r="G1301" s="76" t="s">
        <v>1686</v>
      </c>
      <c r="H1301" s="76" t="s">
        <v>1488</v>
      </c>
      <c r="I1301" s="76" t="s">
        <v>1686</v>
      </c>
    </row>
    <row r="1302" spans="7:9" hidden="1">
      <c r="G1302" s="76" t="s">
        <v>1313</v>
      </c>
      <c r="H1302" s="76" t="s">
        <v>1474</v>
      </c>
      <c r="I1302" s="76" t="s">
        <v>1313</v>
      </c>
    </row>
    <row r="1303" spans="7:9" hidden="1">
      <c r="G1303" s="76" t="s">
        <v>1314</v>
      </c>
      <c r="H1303" s="76" t="s">
        <v>1474</v>
      </c>
      <c r="I1303" s="76" t="s">
        <v>1314</v>
      </c>
    </row>
    <row r="1304" spans="7:9" hidden="1">
      <c r="G1304" s="76" t="s">
        <v>1687</v>
      </c>
      <c r="H1304" s="76" t="s">
        <v>1474</v>
      </c>
      <c r="I1304" s="76" t="s">
        <v>1687</v>
      </c>
    </row>
    <row r="1305" spans="7:9" hidden="1">
      <c r="G1305" s="76" t="s">
        <v>813</v>
      </c>
      <c r="H1305" s="76" t="s">
        <v>1488</v>
      </c>
      <c r="I1305" s="76" t="s">
        <v>1686</v>
      </c>
    </row>
    <row r="1306" spans="7:9" hidden="1">
      <c r="G1306" s="76" t="s">
        <v>814</v>
      </c>
      <c r="H1306" s="76" t="s">
        <v>1488</v>
      </c>
      <c r="I1306" s="76" t="s">
        <v>1686</v>
      </c>
    </row>
    <row r="1307" spans="7:9" hidden="1">
      <c r="G1307" s="76" t="s">
        <v>1688</v>
      </c>
      <c r="H1307" s="76" t="s">
        <v>1448</v>
      </c>
      <c r="I1307" s="76" t="s">
        <v>1688</v>
      </c>
    </row>
    <row r="1308" spans="7:9" hidden="1">
      <c r="G1308" s="76" t="s">
        <v>1689</v>
      </c>
      <c r="H1308" s="76" t="s">
        <v>2040</v>
      </c>
      <c r="I1308" s="76" t="s">
        <v>1689</v>
      </c>
    </row>
    <row r="1309" spans="7:9" hidden="1">
      <c r="G1309" s="76" t="s">
        <v>1315</v>
      </c>
      <c r="H1309" s="76" t="s">
        <v>1474</v>
      </c>
      <c r="I1309" s="76" t="s">
        <v>1315</v>
      </c>
    </row>
  </sheetData>
  <sheetProtection password="C453" sheet="1" objects="1" scenarios="1" deleteRows="0"/>
  <dataConsolidate/>
  <customSheetViews>
    <customSheetView guid="{81CF54B1-70AB-4A68-BB72-21925B5D4874}" scale="75" fitToPage="1" hiddenColumns="1">
      <pane xSplit="10" ySplit="4" topLeftCell="K5" activePane="bottomRight" state="frozen"/>
      <selection pane="bottomRight" activeCell="D6" sqref="D6:D61"/>
      <pageMargins left="0.7" right="0.7" top="0.75" bottom="0.75" header="0.3" footer="0.3"/>
      <pageSetup orientation="portrait" r:id="rId1"/>
    </customSheetView>
  </customSheetViews>
  <mergeCells count="7">
    <mergeCell ref="A1:O1"/>
    <mergeCell ref="B1002:N1002"/>
    <mergeCell ref="I3:J3"/>
    <mergeCell ref="I2:N2"/>
    <mergeCell ref="A2:A4"/>
    <mergeCell ref="D2:H3"/>
    <mergeCell ref="B2:C3"/>
  </mergeCells>
  <phoneticPr fontId="4" type="noConversion"/>
  <conditionalFormatting sqref="B5:B1001">
    <cfRule type="expression" dxfId="251" priority="20">
      <formula>IF(B5="",TRUE)</formula>
    </cfRule>
  </conditionalFormatting>
  <conditionalFormatting sqref="C5:C1001 D24">
    <cfRule type="expression" dxfId="250" priority="5">
      <formula>IF(C5&lt;&gt;0,TRUE)</formula>
    </cfRule>
    <cfRule type="expression" dxfId="249" priority="6">
      <formula>IF(B5&lt;&gt;0,TRUE)</formula>
    </cfRule>
  </conditionalFormatting>
  <conditionalFormatting sqref="E26:M31 C26:C32 D5:D1001">
    <cfRule type="expression" dxfId="248" priority="2">
      <formula>IF(C5&lt;&gt;0,TRUE)</formula>
    </cfRule>
    <cfRule type="expression" dxfId="247" priority="4">
      <formula>IF(B5="Smelter Not Listed",TRUE)</formula>
    </cfRule>
  </conditionalFormatting>
  <conditionalFormatting sqref="D26 D24 F24 E5:E1001">
    <cfRule type="expression" dxfId="246" priority="1">
      <formula>IF(D5&lt;&gt;0,TRUE)</formula>
    </cfRule>
    <cfRule type="expression" dxfId="245" priority="3">
      <formula>IF(B5="Smelter Not Listed",TRUE)</formula>
    </cfRule>
  </conditionalFormatting>
  <conditionalFormatting sqref="D8:D20">
    <cfRule type="expression" dxfId="244" priority="28" stopIfTrue="1">
      <formula>IF(D8&lt;&gt;0,TRUE)</formula>
    </cfRule>
    <cfRule type="expression" dxfId="243" priority="29" stopIfTrue="1">
      <formula>IF(#REF!="Smelter Not Listed",TRUE)</formula>
    </cfRule>
  </conditionalFormatting>
  <conditionalFormatting sqref="D8">
    <cfRule type="expression" dxfId="242" priority="30" stopIfTrue="1">
      <formula>IF(D8&lt;&gt;0,TRUE)</formula>
    </cfRule>
    <cfRule type="expression" dxfId="241" priority="31" stopIfTrue="1">
      <formula>IF(#REF!&lt;&gt;0,TRUE)</formula>
    </cfRule>
  </conditionalFormatting>
  <conditionalFormatting sqref="C31:M31">
    <cfRule type="expression" dxfId="240" priority="32" stopIfTrue="1">
      <formula>IF(C31&lt;&gt;0,TRUE)</formula>
    </cfRule>
    <cfRule type="expression" dxfId="239" priority="33" stopIfTrue="1">
      <formula>IF(#REF!="Smelter Not Listed",TRUE)</formula>
    </cfRule>
  </conditionalFormatting>
  <dataValidations count="5">
    <dataValidation type="list" allowBlank="1" showInputMessage="1" showErrorMessage="1" promptTitle="Dropdown field" prompt="Select from dropdown.  Do not enter free form text in this column" sqref="C5:C1001">
      <formula1>INDIRECT(B5)</formula1>
    </dataValidation>
    <dataValidation type="list" allowBlank="1" showInputMessage="1" showErrorMessage="1" sqref="B5:B1001">
      <formula1>Metal</formula1>
    </dataValidation>
    <dataValidation allowBlank="1" showErrorMessage="1" promptTitle="Known Smelter Selection" prompt="Select from the list of known smelters to enter a value.  If your smelter is not listed in this dropdown you may enter freeform text lower in the form in the free form section " sqref="D5:D1001"/>
    <dataValidation type="list" allowBlank="1" showInputMessage="1" showErrorMessage="1" sqref="K3">
      <formula1>"English, 中文 Chinese,日本語 Japanese,한국어 Korean, Français,Português,Deutsch,Español"</formula1>
    </dataValidation>
    <dataValidation type="list" allowBlank="1" showInputMessage="1" showErrorMessage="1" sqref="E5:E1001">
      <formula1>$D$1022:$D$1259</formula1>
    </dataValidation>
  </dataValidations>
  <hyperlinks>
    <hyperlink ref="I2" r:id="rId2" display="http://www.conflictfreesmelter.org/"/>
  </hyperlinks>
  <pageMargins left="0.7" right="0.7" top="0.75" bottom="0.75" header="0.3" footer="0.3"/>
  <pageSetup orientation="portrait" r:id="rId3"/>
  <drawing r:id="rId4"/>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3"/>
  <sheetViews>
    <sheetView zoomScale="80" zoomScaleNormal="80" workbookViewId="0">
      <pane ySplit="2" topLeftCell="A150" activePane="bottomLeft" state="frozen"/>
      <selection pane="bottomLeft" activeCell="B100" sqref="B100"/>
    </sheetView>
  </sheetViews>
  <sheetFormatPr defaultRowHeight="12.75"/>
  <cols>
    <col min="2" max="2" width="61.75" bestFit="1" customWidth="1"/>
    <col min="3" max="3" width="21.875" customWidth="1"/>
    <col min="4" max="4" width="37.5" customWidth="1"/>
    <col min="5" max="5" width="25.75" customWidth="1"/>
    <col min="6" max="7" width="8.75" hidden="1" customWidth="1"/>
    <col min="8" max="10" width="27.125" hidden="1" customWidth="1"/>
    <col min="11" max="11" width="21.75" hidden="1" customWidth="1"/>
    <col min="12" max="15" width="8.75" hidden="1" customWidth="1"/>
  </cols>
  <sheetData>
    <row r="1" spans="1:15" ht="91.9" customHeight="1">
      <c r="A1" s="318" t="str">
        <f>IF(Declaration!$D$3="English",H2,IF(Declaration!$D$3="中文 Chinese",I2,IF(Declaration!$D$3="日本語 Japanese",J2,IF(Declaration!$D$3="한국어 Korean",K2,IF(Declaration!$D$3="Français",L2,IF(Declaration!$D$3="Português",M2,IF(Declaration!$D$3="Deutsch",N2,IF(Declaration!$D$3="Español",O2))))))))</f>
        <v>Note: The following list of smelter names does not represent the EICC-GeSI Conflict-Free Smelter (CFS) or all smelters worldwide.</v>
      </c>
      <c r="B1" s="318"/>
      <c r="C1" s="318"/>
      <c r="D1" s="318"/>
      <c r="H1" s="174" t="s">
        <v>2207</v>
      </c>
      <c r="I1" s="174" t="s">
        <v>2208</v>
      </c>
      <c r="J1" s="174" t="s">
        <v>2209</v>
      </c>
      <c r="K1" s="174" t="s">
        <v>2210</v>
      </c>
      <c r="L1" s="174" t="s">
        <v>756</v>
      </c>
      <c r="M1" s="174" t="s">
        <v>757</v>
      </c>
      <c r="N1" s="174" t="s">
        <v>758</v>
      </c>
      <c r="O1" s="174" t="s">
        <v>454</v>
      </c>
    </row>
    <row r="2" spans="1:15">
      <c r="A2" s="97" t="str">
        <f>IF(Declaration!$D$3="English",H4,IF(Declaration!$D$3="中文 Chinese",I4,IF(Declaration!$D$3="日本語 Japanese",J4,IF(Declaration!$D$3="한국어 Korean",K4,IF(Declaration!$D$3="Français",L4,IF(Declaration!$D$3="Português",M4,IF(Declaration!$D$3="Deutsch",N4,IF(Declaration!$D$3="Español",O4))))))))</f>
        <v>Metal</v>
      </c>
      <c r="B2" s="97" t="str">
        <f>IF(Declaration!$D$3="English",H5,IF(Declaration!$D$3="中文 Chinese",I6,IF(Declaration!$D$3="日本語 Japanese",J5,IF(Declaration!$D$3="한국어 Korean",K5,IF(Declaration!$D$3="Français",L5,IF(Declaration!$D$3="Português",M5,IF(Declaration!$D$3="Deutsch",N5,IF(Declaration!$D$3="Español",O5))))))))</f>
        <v>Standard Smelter Names</v>
      </c>
      <c r="C2" s="97" t="str">
        <f>IF(Declaration!$D$3="English",H6,IF(Declaration!$D$3="中文 Chinese",I6,IF(Declaration!$D$3="日本語 Japanese",J6,IF(Declaration!$D$3="한국어 Korean",K6,IF(Declaration!$D$3="Français",L6,IF(Declaration!$D$3="Português",M6,IF(Declaration!$D$3="Deutsch",N6,IF(Declaration!$D$3="Español",O6))))))))</f>
        <v>Known alias</v>
      </c>
      <c r="D2" s="97" t="str">
        <f>IF(Declaration!$D$3="English",H7,IF(Declaration!$D$3="中文 Chinese",I7,IF(Declaration!$D$3="日本語 Japanese",J7,IF(Declaration!$D$3="한국어 Korean",K7,IF(Declaration!$D$3="Français",L7,IF(Declaration!$D$3="Português",M7,IF(Declaration!$D$3="Deutsch",N7,IF(Declaration!$D$3="Español",O7))))))))</f>
        <v>Smelter Facility Location: Country</v>
      </c>
      <c r="E2" s="97" t="str">
        <f>IF(Declaration!$D$3="English",H3,IF(Declaration!$D$3="中文 Chinese",I3,IF(Declaration!$D$3="日本語 Japanese",J3,IF(Declaration!$D$3="한국어 Korean",K3,IF(Declaration!$D$3="Français",L3,IF(Declaration!$D$3="Português",M3,IF(Declaration!$D$3="Deutsch",N3,IF(Declaration!$D$3="Español",O3))))))))</f>
        <v>Smelter ID</v>
      </c>
      <c r="F2" s="2" t="s">
        <v>52</v>
      </c>
      <c r="G2" s="2" t="s">
        <v>53</v>
      </c>
      <c r="H2" s="164" t="s">
        <v>635</v>
      </c>
      <c r="I2" s="164" t="s">
        <v>636</v>
      </c>
      <c r="J2" s="164" t="s">
        <v>637</v>
      </c>
      <c r="K2" s="164" t="s">
        <v>524</v>
      </c>
      <c r="L2" s="164" t="s">
        <v>638</v>
      </c>
      <c r="M2" s="164" t="s">
        <v>644</v>
      </c>
      <c r="N2" s="164" t="s">
        <v>645</v>
      </c>
      <c r="O2" s="164" t="s">
        <v>646</v>
      </c>
    </row>
    <row r="3" spans="1:15">
      <c r="A3" t="s">
        <v>1754</v>
      </c>
      <c r="B3" t="s">
        <v>671</v>
      </c>
      <c r="C3" t="s">
        <v>672</v>
      </c>
      <c r="D3" t="s">
        <v>1488</v>
      </c>
      <c r="E3" s="185" t="s">
        <v>55</v>
      </c>
      <c r="F3" t="s">
        <v>1889</v>
      </c>
      <c r="G3" s="194">
        <v>1</v>
      </c>
      <c r="H3" s="7" t="s">
        <v>1674</v>
      </c>
      <c r="I3" s="175" t="s">
        <v>198</v>
      </c>
      <c r="J3" s="175" t="s">
        <v>243</v>
      </c>
      <c r="K3" s="175" t="s">
        <v>919</v>
      </c>
      <c r="L3" s="175" t="s">
        <v>203</v>
      </c>
      <c r="M3" s="175" t="s">
        <v>10</v>
      </c>
      <c r="N3" s="175" t="s">
        <v>195</v>
      </c>
      <c r="O3" s="175" t="s">
        <v>487</v>
      </c>
    </row>
    <row r="4" spans="1:15">
      <c r="A4" t="s">
        <v>1754</v>
      </c>
      <c r="B4" t="s">
        <v>1334</v>
      </c>
      <c r="D4" t="s">
        <v>2083</v>
      </c>
      <c r="E4" s="185" t="s">
        <v>56</v>
      </c>
      <c r="F4" t="s">
        <v>1417</v>
      </c>
      <c r="G4" s="194">
        <v>2</v>
      </c>
      <c r="H4" s="82" t="s">
        <v>1295</v>
      </c>
      <c r="I4" s="82" t="s">
        <v>2290</v>
      </c>
      <c r="J4" s="82" t="s">
        <v>2290</v>
      </c>
      <c r="K4" s="82" t="s">
        <v>2291</v>
      </c>
      <c r="L4" s="82" t="s">
        <v>647</v>
      </c>
      <c r="M4" s="82" t="s">
        <v>1295</v>
      </c>
      <c r="N4" s="82" t="s">
        <v>648</v>
      </c>
      <c r="O4" s="82" t="s">
        <v>1295</v>
      </c>
    </row>
    <row r="5" spans="1:15">
      <c r="A5" t="s">
        <v>1754</v>
      </c>
      <c r="B5" t="s">
        <v>673</v>
      </c>
      <c r="C5" t="s">
        <v>674</v>
      </c>
      <c r="D5" t="s">
        <v>1463</v>
      </c>
      <c r="E5" s="185" t="s">
        <v>57</v>
      </c>
      <c r="F5" t="s">
        <v>1864</v>
      </c>
      <c r="G5" s="194">
        <v>3</v>
      </c>
      <c r="H5" s="7" t="s">
        <v>1676</v>
      </c>
      <c r="I5" s="175" t="s">
        <v>199</v>
      </c>
      <c r="J5" s="175" t="s">
        <v>244</v>
      </c>
      <c r="K5" s="175" t="s">
        <v>920</v>
      </c>
      <c r="L5" s="175" t="s">
        <v>205</v>
      </c>
      <c r="M5" s="175" t="s">
        <v>11</v>
      </c>
      <c r="N5" s="175" t="s">
        <v>196</v>
      </c>
      <c r="O5" s="175" t="s">
        <v>488</v>
      </c>
    </row>
    <row r="6" spans="1:15">
      <c r="A6" t="s">
        <v>1754</v>
      </c>
      <c r="B6" t="s">
        <v>675</v>
      </c>
      <c r="C6" t="s">
        <v>1335</v>
      </c>
      <c r="D6" t="s">
        <v>1472</v>
      </c>
      <c r="E6" s="185" t="s">
        <v>58</v>
      </c>
      <c r="F6" t="s">
        <v>1873</v>
      </c>
      <c r="G6" s="194">
        <v>4</v>
      </c>
      <c r="H6" s="7" t="s">
        <v>1677</v>
      </c>
      <c r="I6" s="175" t="s">
        <v>200</v>
      </c>
      <c r="J6" s="175" t="s">
        <v>245</v>
      </c>
      <c r="K6" s="175" t="s">
        <v>921</v>
      </c>
      <c r="L6" s="175" t="s">
        <v>204</v>
      </c>
      <c r="M6" s="175" t="s">
        <v>12</v>
      </c>
      <c r="N6" s="175" t="s">
        <v>197</v>
      </c>
      <c r="O6" s="175" t="s">
        <v>489</v>
      </c>
    </row>
    <row r="7" spans="1:15">
      <c r="A7" t="s">
        <v>1754</v>
      </c>
      <c r="B7" t="s">
        <v>676</v>
      </c>
      <c r="C7" s="7" t="s">
        <v>223</v>
      </c>
      <c r="D7" t="s">
        <v>1542</v>
      </c>
      <c r="E7" s="185" t="s">
        <v>59</v>
      </c>
      <c r="F7" t="s">
        <v>1943</v>
      </c>
      <c r="G7" s="194">
        <v>5</v>
      </c>
      <c r="H7" s="82" t="s">
        <v>1675</v>
      </c>
      <c r="I7" s="82" t="s">
        <v>649</v>
      </c>
      <c r="J7" s="82" t="s">
        <v>650</v>
      </c>
      <c r="K7" s="82" t="s">
        <v>651</v>
      </c>
      <c r="L7" s="82" t="s">
        <v>652</v>
      </c>
      <c r="M7" s="82" t="s">
        <v>653</v>
      </c>
      <c r="N7" s="164" t="s">
        <v>1201</v>
      </c>
      <c r="O7" s="82" t="s">
        <v>654</v>
      </c>
    </row>
    <row r="8" spans="1:15">
      <c r="A8" t="s">
        <v>1754</v>
      </c>
      <c r="B8" t="s">
        <v>677</v>
      </c>
      <c r="C8" t="s">
        <v>678</v>
      </c>
      <c r="D8" t="s">
        <v>2074</v>
      </c>
      <c r="E8" s="185" t="s">
        <v>60</v>
      </c>
      <c r="F8" t="s">
        <v>1408</v>
      </c>
      <c r="G8" s="194">
        <v>6</v>
      </c>
    </row>
    <row r="9" spans="1:15">
      <c r="A9" t="s">
        <v>1754</v>
      </c>
      <c r="B9" t="s">
        <v>679</v>
      </c>
      <c r="C9" t="s">
        <v>680</v>
      </c>
      <c r="D9" t="s">
        <v>1488</v>
      </c>
      <c r="E9" s="185" t="s">
        <v>61</v>
      </c>
      <c r="F9" t="s">
        <v>1889</v>
      </c>
      <c r="G9" s="194">
        <v>7</v>
      </c>
    </row>
    <row r="10" spans="1:15">
      <c r="A10" t="s">
        <v>1754</v>
      </c>
      <c r="B10" t="s">
        <v>1337</v>
      </c>
      <c r="C10" t="s">
        <v>681</v>
      </c>
      <c r="D10" t="s">
        <v>1601</v>
      </c>
      <c r="E10" s="185" t="s">
        <v>62</v>
      </c>
      <c r="F10" t="s">
        <v>2002</v>
      </c>
      <c r="G10" s="194">
        <v>8</v>
      </c>
      <c r="H10" s="196" t="s">
        <v>54</v>
      </c>
    </row>
    <row r="11" spans="1:15">
      <c r="A11" t="s">
        <v>1754</v>
      </c>
      <c r="B11" t="s">
        <v>682</v>
      </c>
      <c r="C11" t="s">
        <v>1296</v>
      </c>
      <c r="D11" t="s">
        <v>2059</v>
      </c>
      <c r="E11" s="185" t="s">
        <v>63</v>
      </c>
      <c r="F11" t="s">
        <v>1393</v>
      </c>
      <c r="G11" s="194">
        <v>9</v>
      </c>
      <c r="H11" s="195" t="s">
        <v>1754</v>
      </c>
      <c r="I11" s="169">
        <v>1</v>
      </c>
    </row>
    <row r="12" spans="1:15">
      <c r="A12" t="s">
        <v>1754</v>
      </c>
      <c r="B12" t="s">
        <v>1338</v>
      </c>
      <c r="D12" t="s">
        <v>1568</v>
      </c>
      <c r="E12" s="185" t="s">
        <v>64</v>
      </c>
      <c r="F12" t="s">
        <v>1969</v>
      </c>
      <c r="G12" s="194">
        <v>10</v>
      </c>
      <c r="H12" s="195" t="s">
        <v>1814</v>
      </c>
      <c r="I12" s="169">
        <v>2</v>
      </c>
    </row>
    <row r="13" spans="1:15">
      <c r="A13" t="s">
        <v>1754</v>
      </c>
      <c r="B13" t="s">
        <v>683</v>
      </c>
      <c r="C13" t="s">
        <v>684</v>
      </c>
      <c r="D13" t="s">
        <v>1472</v>
      </c>
      <c r="E13" s="185" t="s">
        <v>65</v>
      </c>
      <c r="F13" t="s">
        <v>1873</v>
      </c>
      <c r="G13" s="194">
        <v>11</v>
      </c>
      <c r="H13" s="195" t="s">
        <v>1815</v>
      </c>
      <c r="I13" s="169">
        <v>3</v>
      </c>
    </row>
    <row r="14" spans="1:15">
      <c r="A14" t="s">
        <v>1754</v>
      </c>
      <c r="B14" t="s">
        <v>1339</v>
      </c>
      <c r="D14" t="s">
        <v>1549</v>
      </c>
      <c r="E14" s="185" t="s">
        <v>66</v>
      </c>
      <c r="F14" t="s">
        <v>1950</v>
      </c>
      <c r="G14" s="194">
        <v>12</v>
      </c>
      <c r="H14" s="195" t="s">
        <v>1816</v>
      </c>
      <c r="I14" s="169">
        <v>4</v>
      </c>
    </row>
    <row r="15" spans="1:15">
      <c r="A15" t="s">
        <v>1754</v>
      </c>
      <c r="B15" t="s">
        <v>1297</v>
      </c>
      <c r="C15" t="s">
        <v>685</v>
      </c>
      <c r="D15" t="s">
        <v>1539</v>
      </c>
      <c r="E15" s="185" t="s">
        <v>67</v>
      </c>
      <c r="F15" t="s">
        <v>1940</v>
      </c>
      <c r="G15" s="194">
        <v>13</v>
      </c>
    </row>
    <row r="16" spans="1:15">
      <c r="A16" t="s">
        <v>1754</v>
      </c>
      <c r="B16" t="s">
        <v>1340</v>
      </c>
      <c r="D16" t="s">
        <v>1473</v>
      </c>
      <c r="E16" s="185" t="s">
        <v>68</v>
      </c>
      <c r="F16" t="s">
        <v>1874</v>
      </c>
      <c r="G16" s="194">
        <v>14</v>
      </c>
    </row>
    <row r="17" spans="1:7">
      <c r="A17" t="s">
        <v>1754</v>
      </c>
      <c r="B17" t="s">
        <v>1341</v>
      </c>
      <c r="C17" s="7" t="s">
        <v>225</v>
      </c>
      <c r="D17" t="s">
        <v>1542</v>
      </c>
      <c r="E17" s="185" t="s">
        <v>69</v>
      </c>
      <c r="F17" t="s">
        <v>1943</v>
      </c>
      <c r="G17" s="194">
        <v>15</v>
      </c>
    </row>
    <row r="18" spans="1:7">
      <c r="A18" t="s">
        <v>1754</v>
      </c>
      <c r="B18" t="s">
        <v>1342</v>
      </c>
      <c r="C18" t="s">
        <v>1694</v>
      </c>
      <c r="D18" t="s">
        <v>2040</v>
      </c>
      <c r="E18" s="185" t="s">
        <v>70</v>
      </c>
      <c r="F18" t="s">
        <v>2014</v>
      </c>
      <c r="G18" s="194">
        <v>16</v>
      </c>
    </row>
    <row r="19" spans="1:7">
      <c r="A19" t="s">
        <v>1754</v>
      </c>
      <c r="B19" t="s">
        <v>1811</v>
      </c>
      <c r="D19" t="s">
        <v>1488</v>
      </c>
      <c r="E19" s="185" t="s">
        <v>71</v>
      </c>
      <c r="F19" t="s">
        <v>1889</v>
      </c>
      <c r="G19" s="194">
        <v>17</v>
      </c>
    </row>
    <row r="20" spans="1:7">
      <c r="A20" t="s">
        <v>1754</v>
      </c>
      <c r="B20" s="197" t="s">
        <v>686</v>
      </c>
      <c r="C20" s="7" t="s">
        <v>743</v>
      </c>
      <c r="D20" t="s">
        <v>1488</v>
      </c>
      <c r="E20" s="185" t="s">
        <v>72</v>
      </c>
      <c r="F20" t="s">
        <v>1889</v>
      </c>
      <c r="G20" s="194">
        <v>18</v>
      </c>
    </row>
    <row r="21" spans="1:7">
      <c r="A21" t="s">
        <v>1754</v>
      </c>
      <c r="B21" s="197" t="s">
        <v>687</v>
      </c>
      <c r="C21" s="7" t="s">
        <v>409</v>
      </c>
      <c r="D21" t="s">
        <v>1525</v>
      </c>
      <c r="E21" s="185" t="s">
        <v>73</v>
      </c>
      <c r="F21" t="s">
        <v>1926</v>
      </c>
      <c r="G21" s="194">
        <v>19</v>
      </c>
    </row>
    <row r="22" spans="1:7">
      <c r="A22" t="s">
        <v>1754</v>
      </c>
      <c r="B22" t="s">
        <v>1755</v>
      </c>
      <c r="C22" t="s">
        <v>688</v>
      </c>
      <c r="D22" t="s">
        <v>1474</v>
      </c>
      <c r="E22" s="185" t="s">
        <v>74</v>
      </c>
      <c r="F22" t="s">
        <v>1875</v>
      </c>
      <c r="G22" s="194">
        <v>20</v>
      </c>
    </row>
    <row r="23" spans="1:7">
      <c r="A23" t="s">
        <v>1754</v>
      </c>
      <c r="B23" t="s">
        <v>689</v>
      </c>
      <c r="C23" t="s">
        <v>690</v>
      </c>
      <c r="D23" t="s">
        <v>1542</v>
      </c>
      <c r="E23" s="185" t="s">
        <v>75</v>
      </c>
      <c r="F23" t="s">
        <v>1943</v>
      </c>
      <c r="G23" s="194">
        <v>21</v>
      </c>
    </row>
    <row r="24" spans="1:7">
      <c r="A24" t="s">
        <v>1754</v>
      </c>
      <c r="B24" t="s">
        <v>1343</v>
      </c>
      <c r="C24" t="s">
        <v>691</v>
      </c>
      <c r="D24" t="s">
        <v>1542</v>
      </c>
      <c r="E24" s="185" t="s">
        <v>76</v>
      </c>
      <c r="F24" t="s">
        <v>1943</v>
      </c>
      <c r="G24" s="194">
        <v>22</v>
      </c>
    </row>
    <row r="25" spans="1:7">
      <c r="A25" t="s">
        <v>1754</v>
      </c>
      <c r="B25" t="s">
        <v>1298</v>
      </c>
      <c r="C25" t="s">
        <v>692</v>
      </c>
      <c r="D25" t="s">
        <v>1474</v>
      </c>
      <c r="E25" s="185" t="s">
        <v>77</v>
      </c>
      <c r="F25" t="s">
        <v>1875</v>
      </c>
      <c r="G25" s="194">
        <v>23</v>
      </c>
    </row>
    <row r="26" spans="1:7">
      <c r="A26" t="s">
        <v>1754</v>
      </c>
      <c r="B26" s="197" t="s">
        <v>693</v>
      </c>
      <c r="C26" s="7" t="s">
        <v>410</v>
      </c>
      <c r="D26" t="s">
        <v>1470</v>
      </c>
      <c r="E26" s="185" t="s">
        <v>78</v>
      </c>
      <c r="F26" t="s">
        <v>1871</v>
      </c>
      <c r="G26" s="194">
        <v>24</v>
      </c>
    </row>
    <row r="27" spans="1:7">
      <c r="A27" t="s">
        <v>1754</v>
      </c>
      <c r="B27" s="197" t="s">
        <v>1749</v>
      </c>
      <c r="C27" s="7" t="s">
        <v>226</v>
      </c>
      <c r="D27" t="s">
        <v>2082</v>
      </c>
      <c r="E27" s="185" t="s">
        <v>79</v>
      </c>
      <c r="F27" t="s">
        <v>1416</v>
      </c>
      <c r="G27" s="194">
        <v>25</v>
      </c>
    </row>
    <row r="28" spans="1:7">
      <c r="A28" t="s">
        <v>1754</v>
      </c>
      <c r="B28" t="s">
        <v>1344</v>
      </c>
      <c r="C28" t="s">
        <v>694</v>
      </c>
      <c r="D28" t="s">
        <v>2040</v>
      </c>
      <c r="E28" s="185" t="s">
        <v>80</v>
      </c>
      <c r="F28" t="s">
        <v>2014</v>
      </c>
      <c r="G28" s="194">
        <v>26</v>
      </c>
    </row>
    <row r="29" spans="1:7">
      <c r="A29" t="s">
        <v>1754</v>
      </c>
      <c r="B29" t="s">
        <v>1345</v>
      </c>
      <c r="D29" t="s">
        <v>2040</v>
      </c>
      <c r="E29" s="185" t="s">
        <v>81</v>
      </c>
      <c r="F29" t="s">
        <v>2014</v>
      </c>
      <c r="G29" s="194">
        <v>27</v>
      </c>
    </row>
    <row r="30" spans="1:7">
      <c r="A30" t="s">
        <v>1754</v>
      </c>
      <c r="B30" t="s">
        <v>695</v>
      </c>
      <c r="C30" t="s">
        <v>19</v>
      </c>
      <c r="D30" t="s">
        <v>1542</v>
      </c>
      <c r="E30" s="185" t="s">
        <v>82</v>
      </c>
      <c r="F30" t="s">
        <v>1943</v>
      </c>
      <c r="G30" s="194">
        <v>28</v>
      </c>
    </row>
    <row r="31" spans="1:7">
      <c r="A31" t="s">
        <v>1754</v>
      </c>
      <c r="B31" t="s">
        <v>1346</v>
      </c>
      <c r="D31" t="s">
        <v>1543</v>
      </c>
      <c r="E31" s="185" t="s">
        <v>83</v>
      </c>
      <c r="F31" t="s">
        <v>1944</v>
      </c>
      <c r="G31" s="194">
        <v>29</v>
      </c>
    </row>
    <row r="32" spans="1:7">
      <c r="A32" t="s">
        <v>1754</v>
      </c>
      <c r="B32" t="s">
        <v>1299</v>
      </c>
      <c r="D32" t="s">
        <v>1545</v>
      </c>
      <c r="E32" s="185" t="s">
        <v>84</v>
      </c>
      <c r="F32" t="s">
        <v>1946</v>
      </c>
      <c r="G32" s="194">
        <v>30</v>
      </c>
    </row>
    <row r="33" spans="1:7">
      <c r="A33" t="s">
        <v>1754</v>
      </c>
      <c r="B33" t="s">
        <v>1347</v>
      </c>
      <c r="C33" t="s">
        <v>696</v>
      </c>
      <c r="D33" t="s">
        <v>2042</v>
      </c>
      <c r="E33" s="185" t="s">
        <v>85</v>
      </c>
      <c r="F33" t="s">
        <v>2016</v>
      </c>
      <c r="G33" s="194">
        <v>31</v>
      </c>
    </row>
    <row r="34" spans="1:7">
      <c r="A34" t="s">
        <v>1754</v>
      </c>
      <c r="B34" t="s">
        <v>697</v>
      </c>
      <c r="C34" s="7" t="s">
        <v>1348</v>
      </c>
      <c r="D34" t="s">
        <v>1549</v>
      </c>
      <c r="E34" s="185" t="s">
        <v>86</v>
      </c>
      <c r="F34" t="s">
        <v>1950</v>
      </c>
      <c r="G34" s="194">
        <v>32</v>
      </c>
    </row>
    <row r="35" spans="1:7">
      <c r="A35" t="s">
        <v>1754</v>
      </c>
      <c r="B35" t="s">
        <v>1349</v>
      </c>
      <c r="C35" t="s">
        <v>698</v>
      </c>
      <c r="D35" t="s">
        <v>2082</v>
      </c>
      <c r="E35" s="185" t="s">
        <v>87</v>
      </c>
      <c r="F35" t="s">
        <v>1416</v>
      </c>
      <c r="G35" s="194">
        <v>33</v>
      </c>
    </row>
    <row r="36" spans="1:7">
      <c r="A36" t="s">
        <v>1754</v>
      </c>
      <c r="B36" t="s">
        <v>699</v>
      </c>
      <c r="D36" t="s">
        <v>1542</v>
      </c>
      <c r="E36" s="185" t="s">
        <v>88</v>
      </c>
      <c r="F36" t="s">
        <v>1943</v>
      </c>
      <c r="G36" s="194">
        <v>34</v>
      </c>
    </row>
    <row r="37" spans="1:7">
      <c r="A37" t="s">
        <v>1754</v>
      </c>
      <c r="B37" s="197" t="s">
        <v>700</v>
      </c>
      <c r="C37" s="7" t="s">
        <v>188</v>
      </c>
      <c r="D37" t="s">
        <v>1472</v>
      </c>
      <c r="E37" s="185" t="s">
        <v>89</v>
      </c>
      <c r="F37" t="s">
        <v>1873</v>
      </c>
      <c r="G37" s="194">
        <v>35</v>
      </c>
    </row>
    <row r="38" spans="1:7">
      <c r="A38" t="s">
        <v>1754</v>
      </c>
      <c r="B38" s="197" t="s">
        <v>701</v>
      </c>
      <c r="C38" s="7" t="s">
        <v>189</v>
      </c>
      <c r="D38" t="s">
        <v>1525</v>
      </c>
      <c r="E38" s="185" t="s">
        <v>90</v>
      </c>
      <c r="F38" t="s">
        <v>1926</v>
      </c>
      <c r="G38" s="194">
        <v>36</v>
      </c>
    </row>
    <row r="39" spans="1:7">
      <c r="A39" t="s">
        <v>1754</v>
      </c>
      <c r="B39" s="197" t="s">
        <v>702</v>
      </c>
      <c r="C39" s="7" t="s">
        <v>190</v>
      </c>
      <c r="D39" t="s">
        <v>2082</v>
      </c>
      <c r="E39" s="185" t="s">
        <v>91</v>
      </c>
      <c r="F39" t="s">
        <v>1416</v>
      </c>
      <c r="G39" s="194">
        <v>37</v>
      </c>
    </row>
    <row r="40" spans="1:7">
      <c r="A40" t="s">
        <v>1754</v>
      </c>
      <c r="B40" t="s">
        <v>703</v>
      </c>
      <c r="D40" t="s">
        <v>1568</v>
      </c>
      <c r="E40" s="185" t="s">
        <v>92</v>
      </c>
      <c r="F40" t="s">
        <v>1969</v>
      </c>
      <c r="G40" s="194">
        <v>38</v>
      </c>
    </row>
    <row r="41" spans="1:7">
      <c r="A41" t="s">
        <v>1754</v>
      </c>
      <c r="B41" t="s">
        <v>1350</v>
      </c>
      <c r="D41" t="s">
        <v>1542</v>
      </c>
      <c r="E41" s="185" t="s">
        <v>93</v>
      </c>
      <c r="F41" t="s">
        <v>1943</v>
      </c>
      <c r="G41" s="194">
        <v>39</v>
      </c>
    </row>
    <row r="42" spans="1:7">
      <c r="A42" t="s">
        <v>1754</v>
      </c>
      <c r="B42" t="s">
        <v>704</v>
      </c>
      <c r="C42" t="s">
        <v>1306</v>
      </c>
      <c r="D42" t="s">
        <v>1542</v>
      </c>
      <c r="E42" s="185" t="s">
        <v>94</v>
      </c>
      <c r="F42" t="s">
        <v>1943</v>
      </c>
      <c r="G42" s="194">
        <v>40</v>
      </c>
    </row>
    <row r="43" spans="1:7">
      <c r="A43" t="s">
        <v>1754</v>
      </c>
      <c r="B43" t="s">
        <v>1351</v>
      </c>
      <c r="D43" t="s">
        <v>2040</v>
      </c>
      <c r="E43" s="185" t="s">
        <v>95</v>
      </c>
      <c r="F43" t="s">
        <v>2014</v>
      </c>
      <c r="G43" s="194">
        <v>41</v>
      </c>
    </row>
    <row r="44" spans="1:7">
      <c r="A44" t="s">
        <v>1754</v>
      </c>
      <c r="B44" t="s">
        <v>705</v>
      </c>
      <c r="C44" s="7" t="s">
        <v>742</v>
      </c>
      <c r="D44" t="s">
        <v>2083</v>
      </c>
      <c r="E44" s="185" t="s">
        <v>96</v>
      </c>
      <c r="F44" t="s">
        <v>1417</v>
      </c>
      <c r="G44" s="194">
        <v>42</v>
      </c>
    </row>
    <row r="45" spans="1:7">
      <c r="A45" t="s">
        <v>1754</v>
      </c>
      <c r="B45" t="s">
        <v>21</v>
      </c>
      <c r="C45" t="s">
        <v>1353</v>
      </c>
      <c r="D45" t="s">
        <v>2082</v>
      </c>
      <c r="E45" s="185" t="s">
        <v>97</v>
      </c>
      <c r="F45" t="s">
        <v>1416</v>
      </c>
      <c r="G45" s="194">
        <v>43</v>
      </c>
    </row>
    <row r="46" spans="1:7">
      <c r="A46" t="s">
        <v>1754</v>
      </c>
      <c r="B46" t="s">
        <v>706</v>
      </c>
      <c r="D46" t="s">
        <v>2040</v>
      </c>
      <c r="E46" s="185" t="s">
        <v>98</v>
      </c>
      <c r="F46" t="s">
        <v>2014</v>
      </c>
      <c r="G46" s="194">
        <v>44</v>
      </c>
    </row>
    <row r="47" spans="1:7">
      <c r="A47" t="s">
        <v>1754</v>
      </c>
      <c r="B47" t="s">
        <v>1354</v>
      </c>
      <c r="C47" t="s">
        <v>707</v>
      </c>
      <c r="D47" t="s">
        <v>1472</v>
      </c>
      <c r="E47" s="185" t="s">
        <v>99</v>
      </c>
      <c r="F47" t="s">
        <v>1873</v>
      </c>
      <c r="G47" s="194">
        <v>45</v>
      </c>
    </row>
    <row r="48" spans="1:7">
      <c r="A48" t="s">
        <v>1754</v>
      </c>
      <c r="B48" t="s">
        <v>1185</v>
      </c>
      <c r="C48" t="s">
        <v>708</v>
      </c>
      <c r="D48" t="s">
        <v>1447</v>
      </c>
      <c r="E48" s="185" t="s">
        <v>100</v>
      </c>
      <c r="F48" t="s">
        <v>1848</v>
      </c>
      <c r="G48" s="194">
        <v>46</v>
      </c>
    </row>
    <row r="49" spans="1:7">
      <c r="A49" t="s">
        <v>1754</v>
      </c>
      <c r="B49" t="s">
        <v>1356</v>
      </c>
      <c r="C49" t="s">
        <v>709</v>
      </c>
      <c r="D49" t="s">
        <v>2040</v>
      </c>
      <c r="E49" s="185" t="s">
        <v>101</v>
      </c>
      <c r="F49" t="s">
        <v>2014</v>
      </c>
      <c r="G49" s="194">
        <v>47</v>
      </c>
    </row>
    <row r="50" spans="1:7">
      <c r="A50" t="s">
        <v>1754</v>
      </c>
      <c r="B50" t="s">
        <v>710</v>
      </c>
      <c r="D50" t="s">
        <v>1531</v>
      </c>
      <c r="E50" s="185" t="s">
        <v>102</v>
      </c>
      <c r="F50" t="s">
        <v>1932</v>
      </c>
      <c r="G50" s="194">
        <v>48</v>
      </c>
    </row>
    <row r="51" spans="1:7">
      <c r="A51" t="s">
        <v>1754</v>
      </c>
      <c r="B51" t="s">
        <v>711</v>
      </c>
      <c r="C51" t="s">
        <v>712</v>
      </c>
      <c r="D51" t="s">
        <v>2095</v>
      </c>
      <c r="E51" s="185" t="s">
        <v>103</v>
      </c>
      <c r="F51" t="s">
        <v>1429</v>
      </c>
      <c r="G51" s="194">
        <v>49</v>
      </c>
    </row>
    <row r="52" spans="1:7">
      <c r="A52" t="s">
        <v>1754</v>
      </c>
      <c r="B52" t="s">
        <v>1358</v>
      </c>
      <c r="D52" t="s">
        <v>1470</v>
      </c>
      <c r="E52" s="185" t="s">
        <v>104</v>
      </c>
      <c r="F52" t="s">
        <v>1871</v>
      </c>
      <c r="G52" s="194">
        <v>50</v>
      </c>
    </row>
    <row r="53" spans="1:7">
      <c r="A53" t="s">
        <v>1754</v>
      </c>
      <c r="B53" t="s">
        <v>1359</v>
      </c>
      <c r="C53" t="s">
        <v>713</v>
      </c>
      <c r="D53" t="s">
        <v>1591</v>
      </c>
      <c r="E53" s="185" t="s">
        <v>105</v>
      </c>
      <c r="F53" t="s">
        <v>1992</v>
      </c>
      <c r="G53" s="194">
        <v>51</v>
      </c>
    </row>
    <row r="54" spans="1:7">
      <c r="A54" t="s">
        <v>1754</v>
      </c>
      <c r="B54" t="s">
        <v>1360</v>
      </c>
      <c r="D54" t="s">
        <v>1498</v>
      </c>
      <c r="E54" s="185" t="s">
        <v>106</v>
      </c>
      <c r="F54" t="s">
        <v>1899</v>
      </c>
      <c r="G54" s="194">
        <v>52</v>
      </c>
    </row>
    <row r="55" spans="1:7">
      <c r="A55" t="s">
        <v>1754</v>
      </c>
      <c r="B55" t="s">
        <v>714</v>
      </c>
      <c r="C55" t="s">
        <v>715</v>
      </c>
      <c r="D55" t="s">
        <v>1474</v>
      </c>
      <c r="E55" s="185" t="s">
        <v>107</v>
      </c>
      <c r="F55" t="s">
        <v>1875</v>
      </c>
      <c r="G55" s="194">
        <v>53</v>
      </c>
    </row>
    <row r="56" spans="1:7">
      <c r="A56" t="s">
        <v>1754</v>
      </c>
      <c r="B56" t="s">
        <v>716</v>
      </c>
      <c r="D56" t="s">
        <v>1474</v>
      </c>
      <c r="E56" s="185" t="s">
        <v>108</v>
      </c>
      <c r="F56" t="s">
        <v>1875</v>
      </c>
      <c r="G56" s="194">
        <v>54</v>
      </c>
    </row>
    <row r="57" spans="1:7">
      <c r="A57" t="s">
        <v>1754</v>
      </c>
      <c r="B57" t="s">
        <v>1361</v>
      </c>
      <c r="C57" t="s">
        <v>717</v>
      </c>
      <c r="D57" t="s">
        <v>2040</v>
      </c>
      <c r="E57" s="185" t="s">
        <v>109</v>
      </c>
      <c r="F57" t="s">
        <v>2014</v>
      </c>
      <c r="G57" s="194">
        <v>55</v>
      </c>
    </row>
    <row r="58" spans="1:7">
      <c r="A58" t="s">
        <v>1754</v>
      </c>
      <c r="B58" t="s">
        <v>1362</v>
      </c>
      <c r="C58" t="s">
        <v>718</v>
      </c>
      <c r="D58" t="s">
        <v>2076</v>
      </c>
      <c r="E58" s="185" t="s">
        <v>110</v>
      </c>
      <c r="F58" t="s">
        <v>1410</v>
      </c>
      <c r="G58" s="194">
        <v>56</v>
      </c>
    </row>
    <row r="59" spans="1:7">
      <c r="A59" t="s">
        <v>1754</v>
      </c>
      <c r="B59" t="s">
        <v>719</v>
      </c>
      <c r="C59" t="s">
        <v>720</v>
      </c>
      <c r="D59" t="s">
        <v>1542</v>
      </c>
      <c r="E59" s="185" t="s">
        <v>111</v>
      </c>
      <c r="F59" t="s">
        <v>1943</v>
      </c>
      <c r="G59" s="194">
        <v>57</v>
      </c>
    </row>
    <row r="60" spans="1:7">
      <c r="A60" t="s">
        <v>1754</v>
      </c>
      <c r="B60" t="s">
        <v>721</v>
      </c>
      <c r="C60" t="s">
        <v>722</v>
      </c>
      <c r="D60" t="s">
        <v>1542</v>
      </c>
      <c r="E60" s="185" t="s">
        <v>112</v>
      </c>
      <c r="F60" t="s">
        <v>1943</v>
      </c>
      <c r="G60" s="194">
        <v>58</v>
      </c>
    </row>
    <row r="61" spans="1:7">
      <c r="A61" t="s">
        <v>1754</v>
      </c>
      <c r="B61" t="s">
        <v>1300</v>
      </c>
      <c r="C61" t="s">
        <v>723</v>
      </c>
      <c r="D61" t="s">
        <v>1474</v>
      </c>
      <c r="E61" s="185" t="s">
        <v>113</v>
      </c>
      <c r="F61" t="s">
        <v>1875</v>
      </c>
      <c r="G61" s="194">
        <v>59</v>
      </c>
    </row>
    <row r="62" spans="1:7">
      <c r="A62" t="s">
        <v>1754</v>
      </c>
      <c r="B62" t="s">
        <v>1365</v>
      </c>
      <c r="C62" t="s">
        <v>724</v>
      </c>
      <c r="D62" t="s">
        <v>1542</v>
      </c>
      <c r="E62" s="185" t="s">
        <v>114</v>
      </c>
      <c r="F62" t="s">
        <v>1943</v>
      </c>
      <c r="G62" s="194">
        <v>60</v>
      </c>
    </row>
    <row r="63" spans="1:7">
      <c r="A63" t="s">
        <v>1754</v>
      </c>
      <c r="B63" s="197" t="s">
        <v>39</v>
      </c>
      <c r="D63" t="s">
        <v>1463</v>
      </c>
      <c r="E63" s="185" t="s">
        <v>115</v>
      </c>
      <c r="F63" t="s">
        <v>1864</v>
      </c>
      <c r="G63" s="194">
        <v>61</v>
      </c>
    </row>
    <row r="64" spans="1:7">
      <c r="A64" t="s">
        <v>1754</v>
      </c>
      <c r="B64" s="197" t="s">
        <v>40</v>
      </c>
      <c r="C64" s="7" t="s">
        <v>191</v>
      </c>
      <c r="D64" t="s">
        <v>1451</v>
      </c>
      <c r="E64" s="185" t="s">
        <v>116</v>
      </c>
      <c r="F64" t="s">
        <v>1852</v>
      </c>
      <c r="G64" s="194">
        <v>62</v>
      </c>
    </row>
    <row r="65" spans="1:7">
      <c r="A65" t="s">
        <v>1754</v>
      </c>
      <c r="B65" t="s">
        <v>41</v>
      </c>
      <c r="C65" t="s">
        <v>42</v>
      </c>
      <c r="D65" t="s">
        <v>1472</v>
      </c>
      <c r="E65" s="185" t="s">
        <v>117</v>
      </c>
      <c r="F65" t="s">
        <v>1873</v>
      </c>
      <c r="G65" s="194">
        <v>63</v>
      </c>
    </row>
    <row r="66" spans="1:7">
      <c r="A66" t="s">
        <v>1754</v>
      </c>
      <c r="B66" t="s">
        <v>43</v>
      </c>
      <c r="C66" t="s">
        <v>44</v>
      </c>
      <c r="D66" t="s">
        <v>1470</v>
      </c>
      <c r="E66" s="185" t="s">
        <v>118</v>
      </c>
      <c r="F66" t="s">
        <v>1871</v>
      </c>
      <c r="G66" s="194">
        <v>64</v>
      </c>
    </row>
    <row r="67" spans="1:7">
      <c r="A67" t="s">
        <v>1754</v>
      </c>
      <c r="B67" t="s">
        <v>1301</v>
      </c>
      <c r="C67" t="s">
        <v>45</v>
      </c>
      <c r="D67" t="s">
        <v>1474</v>
      </c>
      <c r="E67" s="185" t="s">
        <v>119</v>
      </c>
      <c r="F67" t="s">
        <v>1875</v>
      </c>
      <c r="G67" s="194">
        <v>65</v>
      </c>
    </row>
    <row r="68" spans="1:7">
      <c r="A68" t="s">
        <v>1754</v>
      </c>
      <c r="B68" t="s">
        <v>1302</v>
      </c>
      <c r="C68" t="s">
        <v>46</v>
      </c>
      <c r="D68" t="s">
        <v>1474</v>
      </c>
      <c r="E68" s="185" t="s">
        <v>120</v>
      </c>
      <c r="F68" t="s">
        <v>1875</v>
      </c>
      <c r="G68" s="194">
        <v>66</v>
      </c>
    </row>
    <row r="69" spans="1:7">
      <c r="A69" t="s">
        <v>1754</v>
      </c>
      <c r="B69" t="s">
        <v>47</v>
      </c>
      <c r="D69" t="s">
        <v>2040</v>
      </c>
      <c r="E69" s="185" t="s">
        <v>121</v>
      </c>
      <c r="F69" t="s">
        <v>2014</v>
      </c>
      <c r="G69" s="194">
        <v>67</v>
      </c>
    </row>
    <row r="70" spans="1:7">
      <c r="A70" t="s">
        <v>1754</v>
      </c>
      <c r="B70" t="s">
        <v>48</v>
      </c>
      <c r="C70" t="s">
        <v>49</v>
      </c>
      <c r="D70" t="s">
        <v>1472</v>
      </c>
      <c r="E70" s="185" t="s">
        <v>122</v>
      </c>
      <c r="F70" t="s">
        <v>1873</v>
      </c>
      <c r="G70" s="194">
        <v>68</v>
      </c>
    </row>
    <row r="71" spans="1:7">
      <c r="A71" t="s">
        <v>1754</v>
      </c>
      <c r="B71" t="s">
        <v>50</v>
      </c>
      <c r="D71" t="s">
        <v>2074</v>
      </c>
      <c r="E71" s="185" t="s">
        <v>123</v>
      </c>
      <c r="F71" t="s">
        <v>1408</v>
      </c>
      <c r="G71" s="194">
        <v>69</v>
      </c>
    </row>
    <row r="72" spans="1:7">
      <c r="A72" t="s">
        <v>1754</v>
      </c>
      <c r="B72" t="s">
        <v>51</v>
      </c>
      <c r="D72" t="s">
        <v>2074</v>
      </c>
      <c r="E72" s="185" t="s">
        <v>124</v>
      </c>
      <c r="F72" t="s">
        <v>1408</v>
      </c>
      <c r="G72" s="194">
        <v>70</v>
      </c>
    </row>
    <row r="73" spans="1:7">
      <c r="A73" t="s">
        <v>1814</v>
      </c>
      <c r="B73" t="s">
        <v>1275</v>
      </c>
      <c r="C73" s="7" t="s">
        <v>211</v>
      </c>
      <c r="D73" t="s">
        <v>2082</v>
      </c>
      <c r="E73" s="185" t="s">
        <v>125</v>
      </c>
      <c r="F73" t="s">
        <v>1416</v>
      </c>
      <c r="G73" s="194">
        <v>1</v>
      </c>
    </row>
    <row r="74" spans="1:7">
      <c r="A74" t="s">
        <v>1814</v>
      </c>
      <c r="B74" t="s">
        <v>1276</v>
      </c>
      <c r="D74" t="s">
        <v>1531</v>
      </c>
      <c r="E74" s="185" t="s">
        <v>126</v>
      </c>
      <c r="F74" t="s">
        <v>1932</v>
      </c>
      <c r="G74" s="194">
        <v>2</v>
      </c>
    </row>
    <row r="75" spans="1:7">
      <c r="A75" t="s">
        <v>1814</v>
      </c>
      <c r="B75" t="s">
        <v>1277</v>
      </c>
      <c r="D75" t="s">
        <v>1531</v>
      </c>
      <c r="E75" s="185" t="s">
        <v>127</v>
      </c>
      <c r="F75" t="s">
        <v>1932</v>
      </c>
      <c r="G75" s="194">
        <v>3</v>
      </c>
    </row>
    <row r="76" spans="1:7">
      <c r="A76" t="s">
        <v>1814</v>
      </c>
      <c r="B76" t="s">
        <v>1691</v>
      </c>
      <c r="D76" t="s">
        <v>1531</v>
      </c>
      <c r="E76" s="185" t="s">
        <v>128</v>
      </c>
      <c r="F76" t="s">
        <v>1932</v>
      </c>
      <c r="G76" s="194">
        <v>4</v>
      </c>
    </row>
    <row r="77" spans="1:7">
      <c r="A77" t="s">
        <v>1814</v>
      </c>
      <c r="B77" t="s">
        <v>1278</v>
      </c>
      <c r="D77" t="s">
        <v>1531</v>
      </c>
      <c r="E77" s="185" t="s">
        <v>129</v>
      </c>
      <c r="F77" t="s">
        <v>1932</v>
      </c>
      <c r="G77" s="194">
        <v>5</v>
      </c>
    </row>
    <row r="78" spans="1:7">
      <c r="A78" t="s">
        <v>1814</v>
      </c>
      <c r="B78" t="s">
        <v>1279</v>
      </c>
      <c r="D78" t="s">
        <v>1531</v>
      </c>
      <c r="E78" s="185" t="s">
        <v>130</v>
      </c>
      <c r="F78" t="s">
        <v>1932</v>
      </c>
      <c r="G78" s="194">
        <v>6</v>
      </c>
    </row>
    <row r="79" spans="1:7">
      <c r="A79" t="s">
        <v>1814</v>
      </c>
      <c r="B79" t="s">
        <v>1280</v>
      </c>
      <c r="D79" t="s">
        <v>1531</v>
      </c>
      <c r="E79" s="185" t="s">
        <v>131</v>
      </c>
      <c r="F79" t="s">
        <v>1932</v>
      </c>
      <c r="G79" s="194">
        <v>7</v>
      </c>
    </row>
    <row r="80" spans="1:7">
      <c r="A80" t="s">
        <v>1814</v>
      </c>
      <c r="B80" t="s">
        <v>1281</v>
      </c>
      <c r="D80" t="s">
        <v>1531</v>
      </c>
      <c r="E80" s="185" t="s">
        <v>132</v>
      </c>
      <c r="F80" t="s">
        <v>1932</v>
      </c>
      <c r="G80" s="194">
        <v>8</v>
      </c>
    </row>
    <row r="81" spans="1:7">
      <c r="A81" t="s">
        <v>1814</v>
      </c>
      <c r="B81" t="s">
        <v>1282</v>
      </c>
      <c r="D81" t="s">
        <v>1531</v>
      </c>
      <c r="E81" s="185" t="s">
        <v>133</v>
      </c>
      <c r="F81" t="s">
        <v>1932</v>
      </c>
      <c r="G81" s="194">
        <v>9</v>
      </c>
    </row>
    <row r="82" spans="1:7">
      <c r="A82" t="s">
        <v>1814</v>
      </c>
      <c r="B82" t="s">
        <v>1283</v>
      </c>
      <c r="C82" s="7" t="s">
        <v>212</v>
      </c>
      <c r="D82" t="s">
        <v>1462</v>
      </c>
      <c r="E82" s="185" t="s">
        <v>134</v>
      </c>
      <c r="F82" t="s">
        <v>1863</v>
      </c>
      <c r="G82" s="194">
        <v>10</v>
      </c>
    </row>
    <row r="83" spans="1:7">
      <c r="A83" t="s">
        <v>1814</v>
      </c>
      <c r="B83" t="s">
        <v>1284</v>
      </c>
      <c r="C83" s="7" t="s">
        <v>213</v>
      </c>
      <c r="D83" t="s">
        <v>1474</v>
      </c>
      <c r="E83" s="185" t="s">
        <v>135</v>
      </c>
      <c r="F83" t="s">
        <v>1875</v>
      </c>
      <c r="G83" s="194">
        <v>11</v>
      </c>
    </row>
    <row r="84" spans="1:7">
      <c r="A84" t="s">
        <v>1814</v>
      </c>
      <c r="B84" t="s">
        <v>1813</v>
      </c>
      <c r="D84" t="s">
        <v>1474</v>
      </c>
      <c r="E84" s="185" t="s">
        <v>136</v>
      </c>
      <c r="F84" t="s">
        <v>1875</v>
      </c>
      <c r="G84" s="194">
        <v>12</v>
      </c>
    </row>
    <row r="85" spans="1:7">
      <c r="A85" t="s">
        <v>1814</v>
      </c>
      <c r="B85" t="s">
        <v>1285</v>
      </c>
      <c r="C85" s="7" t="s">
        <v>214</v>
      </c>
      <c r="D85" t="s">
        <v>1474</v>
      </c>
      <c r="E85" s="185" t="s">
        <v>137</v>
      </c>
      <c r="F85" t="s">
        <v>1875</v>
      </c>
      <c r="G85" s="194">
        <v>13</v>
      </c>
    </row>
    <row r="86" spans="1:7">
      <c r="A86" t="s">
        <v>1814</v>
      </c>
      <c r="B86" t="s">
        <v>1692</v>
      </c>
      <c r="D86" t="s">
        <v>1474</v>
      </c>
      <c r="E86" s="185" t="s">
        <v>138</v>
      </c>
      <c r="F86" t="s">
        <v>1875</v>
      </c>
      <c r="G86" s="194">
        <v>14</v>
      </c>
    </row>
    <row r="87" spans="1:7">
      <c r="A87" t="s">
        <v>1814</v>
      </c>
      <c r="B87" t="s">
        <v>1286</v>
      </c>
      <c r="D87" t="s">
        <v>1474</v>
      </c>
      <c r="E87" s="185" t="s">
        <v>139</v>
      </c>
      <c r="F87" t="s">
        <v>1875</v>
      </c>
      <c r="G87" s="194">
        <v>15</v>
      </c>
    </row>
    <row r="88" spans="1:7">
      <c r="A88" t="s">
        <v>1814</v>
      </c>
      <c r="B88" t="s">
        <v>1287</v>
      </c>
      <c r="C88" t="s">
        <v>450</v>
      </c>
      <c r="D88" t="s">
        <v>1582</v>
      </c>
      <c r="E88" s="185" t="s">
        <v>140</v>
      </c>
      <c r="F88" t="s">
        <v>1983</v>
      </c>
      <c r="G88" s="194">
        <v>16</v>
      </c>
    </row>
    <row r="89" spans="1:7">
      <c r="A89" t="s">
        <v>1814</v>
      </c>
      <c r="B89" t="s">
        <v>1288</v>
      </c>
      <c r="D89" t="s">
        <v>1451</v>
      </c>
      <c r="E89" s="185" t="s">
        <v>141</v>
      </c>
      <c r="F89" t="s">
        <v>1852</v>
      </c>
      <c r="G89" s="194">
        <v>17</v>
      </c>
    </row>
    <row r="90" spans="1:7">
      <c r="A90" t="s">
        <v>1814</v>
      </c>
      <c r="B90" t="s">
        <v>1747</v>
      </c>
      <c r="C90" s="7" t="s">
        <v>215</v>
      </c>
      <c r="D90" t="s">
        <v>1463</v>
      </c>
      <c r="E90" s="185" t="s">
        <v>142</v>
      </c>
      <c r="F90" t="s">
        <v>1864</v>
      </c>
      <c r="G90" s="194">
        <v>18</v>
      </c>
    </row>
    <row r="91" spans="1:7">
      <c r="A91" t="s">
        <v>1814</v>
      </c>
      <c r="B91" t="s">
        <v>1748</v>
      </c>
      <c r="C91" s="7" t="s">
        <v>216</v>
      </c>
      <c r="D91" t="s">
        <v>1600</v>
      </c>
      <c r="E91" s="185" t="s">
        <v>143</v>
      </c>
      <c r="F91" t="s">
        <v>2001</v>
      </c>
      <c r="G91" s="194">
        <v>19</v>
      </c>
    </row>
    <row r="92" spans="1:7">
      <c r="A92" t="s">
        <v>1814</v>
      </c>
      <c r="B92" t="s">
        <v>1693</v>
      </c>
      <c r="D92" t="s">
        <v>1542</v>
      </c>
      <c r="E92" s="185" t="s">
        <v>144</v>
      </c>
      <c r="F92" t="s">
        <v>1943</v>
      </c>
      <c r="G92" s="194">
        <v>20</v>
      </c>
    </row>
    <row r="93" spans="1:7">
      <c r="A93" t="s">
        <v>1814</v>
      </c>
      <c r="B93" t="s">
        <v>1694</v>
      </c>
      <c r="D93" t="s">
        <v>2040</v>
      </c>
      <c r="E93" s="185" t="s">
        <v>145</v>
      </c>
      <c r="F93" t="s">
        <v>2014</v>
      </c>
      <c r="G93" s="194">
        <v>21</v>
      </c>
    </row>
    <row r="94" spans="1:7">
      <c r="A94" t="s">
        <v>1814</v>
      </c>
      <c r="B94" t="s">
        <v>1289</v>
      </c>
      <c r="D94" t="s">
        <v>1462</v>
      </c>
      <c r="E94" s="185" t="s">
        <v>146</v>
      </c>
      <c r="F94" t="s">
        <v>1863</v>
      </c>
      <c r="G94" s="194">
        <v>22</v>
      </c>
    </row>
    <row r="95" spans="1:7">
      <c r="A95" t="s">
        <v>1814</v>
      </c>
      <c r="B95" t="s">
        <v>1290</v>
      </c>
      <c r="D95" t="s">
        <v>1531</v>
      </c>
      <c r="E95" s="185" t="s">
        <v>147</v>
      </c>
      <c r="F95" t="s">
        <v>1932</v>
      </c>
      <c r="G95" s="194">
        <v>23</v>
      </c>
    </row>
    <row r="96" spans="1:7">
      <c r="A96" t="s">
        <v>1814</v>
      </c>
      <c r="B96" t="s">
        <v>1291</v>
      </c>
      <c r="D96" t="s">
        <v>1531</v>
      </c>
      <c r="E96" s="185" t="s">
        <v>148</v>
      </c>
      <c r="F96" t="s">
        <v>1932</v>
      </c>
      <c r="G96" s="194">
        <v>24</v>
      </c>
    </row>
    <row r="97" spans="1:7">
      <c r="A97" t="s">
        <v>1814</v>
      </c>
      <c r="B97" t="s">
        <v>1292</v>
      </c>
      <c r="D97" t="s">
        <v>1531</v>
      </c>
      <c r="E97" s="185" t="s">
        <v>149</v>
      </c>
      <c r="F97" t="s">
        <v>1932</v>
      </c>
      <c r="G97" s="194">
        <v>25</v>
      </c>
    </row>
    <row r="98" spans="1:7">
      <c r="A98" t="s">
        <v>1814</v>
      </c>
      <c r="B98" t="s">
        <v>1293</v>
      </c>
      <c r="D98" t="s">
        <v>1531</v>
      </c>
      <c r="E98" s="185" t="s">
        <v>150</v>
      </c>
      <c r="F98" t="s">
        <v>1932</v>
      </c>
      <c r="G98" s="194">
        <v>26</v>
      </c>
    </row>
    <row r="99" spans="1:7">
      <c r="A99" t="s">
        <v>1814</v>
      </c>
      <c r="B99" t="s">
        <v>1695</v>
      </c>
      <c r="D99" t="s">
        <v>1531</v>
      </c>
      <c r="E99" s="185" t="s">
        <v>151</v>
      </c>
      <c r="F99" t="s">
        <v>1932</v>
      </c>
      <c r="G99" s="194">
        <v>27</v>
      </c>
    </row>
    <row r="100" spans="1:7">
      <c r="A100" t="s">
        <v>1814</v>
      </c>
      <c r="B100" t="s">
        <v>1696</v>
      </c>
      <c r="D100" t="s">
        <v>1531</v>
      </c>
      <c r="E100" s="185" t="s">
        <v>152</v>
      </c>
      <c r="F100" t="s">
        <v>1932</v>
      </c>
      <c r="G100" s="194">
        <v>28</v>
      </c>
    </row>
    <row r="101" spans="1:7">
      <c r="A101" t="s">
        <v>1814</v>
      </c>
      <c r="B101" t="s">
        <v>1697</v>
      </c>
      <c r="D101" t="s">
        <v>1531</v>
      </c>
      <c r="E101" s="185" t="s">
        <v>153</v>
      </c>
      <c r="F101" t="s">
        <v>1932</v>
      </c>
      <c r="G101" s="194">
        <v>29</v>
      </c>
    </row>
    <row r="102" spans="1:7">
      <c r="A102" t="s">
        <v>1814</v>
      </c>
      <c r="B102" t="s">
        <v>1698</v>
      </c>
      <c r="D102" t="s">
        <v>1531</v>
      </c>
      <c r="E102" s="185" t="s">
        <v>154</v>
      </c>
      <c r="F102" t="s">
        <v>1932</v>
      </c>
      <c r="G102" s="194">
        <v>30</v>
      </c>
    </row>
    <row r="103" spans="1:7">
      <c r="A103" t="s">
        <v>1814</v>
      </c>
      <c r="B103" t="s">
        <v>1699</v>
      </c>
      <c r="D103" t="s">
        <v>1531</v>
      </c>
      <c r="E103" s="185" t="s">
        <v>155</v>
      </c>
      <c r="F103" t="s">
        <v>1932</v>
      </c>
      <c r="G103" s="194">
        <v>31</v>
      </c>
    </row>
    <row r="104" spans="1:7">
      <c r="A104" t="s">
        <v>1814</v>
      </c>
      <c r="B104" t="s">
        <v>1700</v>
      </c>
      <c r="D104" t="s">
        <v>1531</v>
      </c>
      <c r="E104" s="185" t="s">
        <v>156</v>
      </c>
      <c r="F104" t="s">
        <v>1932</v>
      </c>
      <c r="G104" s="194">
        <v>32</v>
      </c>
    </row>
    <row r="105" spans="1:7">
      <c r="A105" t="s">
        <v>1814</v>
      </c>
      <c r="B105" t="s">
        <v>1701</v>
      </c>
      <c r="D105" t="s">
        <v>1531</v>
      </c>
      <c r="E105" s="185" t="s">
        <v>157</v>
      </c>
      <c r="F105" t="s">
        <v>1932</v>
      </c>
      <c r="G105" s="194">
        <v>33</v>
      </c>
    </row>
    <row r="106" spans="1:7">
      <c r="A106" t="s">
        <v>1814</v>
      </c>
      <c r="B106" t="s">
        <v>1702</v>
      </c>
      <c r="D106" t="s">
        <v>1531</v>
      </c>
      <c r="E106" s="185" t="s">
        <v>158</v>
      </c>
      <c r="F106" t="s">
        <v>1932</v>
      </c>
      <c r="G106" s="194">
        <v>34</v>
      </c>
    </row>
    <row r="107" spans="1:7">
      <c r="A107" t="s">
        <v>1814</v>
      </c>
      <c r="B107" t="s">
        <v>1703</v>
      </c>
      <c r="D107" t="s">
        <v>1531</v>
      </c>
      <c r="E107" s="185" t="s">
        <v>159</v>
      </c>
      <c r="F107" t="s">
        <v>1932</v>
      </c>
      <c r="G107" s="194">
        <v>35</v>
      </c>
    </row>
    <row r="108" spans="1:7">
      <c r="A108" t="s">
        <v>1814</v>
      </c>
      <c r="B108" t="s">
        <v>1704</v>
      </c>
      <c r="D108" t="s">
        <v>1531</v>
      </c>
      <c r="E108" s="185" t="s">
        <v>160</v>
      </c>
      <c r="F108" t="s">
        <v>1932</v>
      </c>
      <c r="G108" s="194">
        <v>36</v>
      </c>
    </row>
    <row r="109" spans="1:7">
      <c r="A109" t="s">
        <v>1814</v>
      </c>
      <c r="B109" t="s">
        <v>1705</v>
      </c>
      <c r="D109" t="s">
        <v>1531</v>
      </c>
      <c r="E109" s="185" t="s">
        <v>161</v>
      </c>
      <c r="F109" t="s">
        <v>1932</v>
      </c>
      <c r="G109" s="194">
        <v>37</v>
      </c>
    </row>
    <row r="110" spans="1:7">
      <c r="A110" t="s">
        <v>1814</v>
      </c>
      <c r="B110" t="s">
        <v>1706</v>
      </c>
      <c r="D110" t="s">
        <v>1531</v>
      </c>
      <c r="E110" s="185" t="s">
        <v>162</v>
      </c>
      <c r="F110" t="s">
        <v>1932</v>
      </c>
      <c r="G110" s="194">
        <v>38</v>
      </c>
    </row>
    <row r="111" spans="1:7">
      <c r="A111" t="s">
        <v>1814</v>
      </c>
      <c r="B111" t="s">
        <v>1707</v>
      </c>
      <c r="D111" t="s">
        <v>1531</v>
      </c>
      <c r="E111" s="185" t="s">
        <v>163</v>
      </c>
      <c r="F111" t="s">
        <v>1932</v>
      </c>
      <c r="G111" s="194">
        <v>39</v>
      </c>
    </row>
    <row r="112" spans="1:7">
      <c r="A112" t="s">
        <v>1814</v>
      </c>
      <c r="B112" t="s">
        <v>1708</v>
      </c>
      <c r="D112" t="s">
        <v>1531</v>
      </c>
      <c r="E112" s="185" t="s">
        <v>164</v>
      </c>
      <c r="F112" t="s">
        <v>1932</v>
      </c>
      <c r="G112" s="194">
        <v>40</v>
      </c>
    </row>
    <row r="113" spans="1:7">
      <c r="A113" t="s">
        <v>1814</v>
      </c>
      <c r="B113" t="s">
        <v>1329</v>
      </c>
      <c r="D113" t="s">
        <v>1531</v>
      </c>
      <c r="E113" s="185" t="s">
        <v>165</v>
      </c>
      <c r="F113" t="s">
        <v>1932</v>
      </c>
      <c r="G113" s="194">
        <v>41</v>
      </c>
    </row>
    <row r="114" spans="1:7">
      <c r="A114" t="s">
        <v>1814</v>
      </c>
      <c r="B114" t="s">
        <v>1745</v>
      </c>
      <c r="D114" t="s">
        <v>1531</v>
      </c>
      <c r="E114" s="185" t="s">
        <v>166</v>
      </c>
      <c r="F114" t="s">
        <v>1932</v>
      </c>
      <c r="G114" s="194">
        <v>42</v>
      </c>
    </row>
    <row r="115" spans="1:7">
      <c r="A115" t="s">
        <v>1814</v>
      </c>
      <c r="B115" t="s">
        <v>1330</v>
      </c>
      <c r="D115" t="s">
        <v>1531</v>
      </c>
      <c r="E115" s="185" t="s">
        <v>167</v>
      </c>
      <c r="F115" t="s">
        <v>1932</v>
      </c>
      <c r="G115" s="194">
        <v>43</v>
      </c>
    </row>
    <row r="116" spans="1:7">
      <c r="A116" t="s">
        <v>1814</v>
      </c>
      <c r="B116" t="s">
        <v>1331</v>
      </c>
      <c r="D116" t="s">
        <v>1531</v>
      </c>
      <c r="E116" s="185" t="s">
        <v>168</v>
      </c>
      <c r="F116" t="s">
        <v>1932</v>
      </c>
      <c r="G116" s="194">
        <v>44</v>
      </c>
    </row>
    <row r="117" spans="1:7">
      <c r="A117" t="s">
        <v>1814</v>
      </c>
      <c r="B117" t="s">
        <v>1332</v>
      </c>
      <c r="D117" t="s">
        <v>1531</v>
      </c>
      <c r="E117" s="185" t="s">
        <v>169</v>
      </c>
      <c r="F117" t="s">
        <v>1932</v>
      </c>
      <c r="G117" s="194">
        <v>45</v>
      </c>
    </row>
    <row r="118" spans="1:7">
      <c r="A118" t="s">
        <v>1814</v>
      </c>
      <c r="B118" t="s">
        <v>1742</v>
      </c>
      <c r="C118" s="7" t="s">
        <v>217</v>
      </c>
      <c r="D118" t="s">
        <v>2066</v>
      </c>
      <c r="E118" s="185" t="s">
        <v>170</v>
      </c>
      <c r="F118" t="s">
        <v>1400</v>
      </c>
      <c r="G118" s="194">
        <v>46</v>
      </c>
    </row>
    <row r="119" spans="1:7">
      <c r="A119" t="s">
        <v>1814</v>
      </c>
      <c r="B119" t="s">
        <v>1294</v>
      </c>
      <c r="C119" s="7" t="s">
        <v>218</v>
      </c>
      <c r="D119" t="s">
        <v>1474</v>
      </c>
      <c r="E119" s="185" t="s">
        <v>171</v>
      </c>
      <c r="F119" t="s">
        <v>1875</v>
      </c>
      <c r="G119" s="194">
        <v>47</v>
      </c>
    </row>
    <row r="120" spans="1:7">
      <c r="A120" t="s">
        <v>1814</v>
      </c>
      <c r="B120" t="s">
        <v>1743</v>
      </c>
      <c r="C120" t="s">
        <v>485</v>
      </c>
      <c r="D120" t="s">
        <v>1474</v>
      </c>
      <c r="E120" s="185" t="s">
        <v>172</v>
      </c>
      <c r="F120" t="s">
        <v>1875</v>
      </c>
      <c r="G120" s="194">
        <v>48</v>
      </c>
    </row>
    <row r="121" spans="1:7">
      <c r="A121" t="s">
        <v>1814</v>
      </c>
      <c r="B121" t="s">
        <v>1744</v>
      </c>
      <c r="D121" t="s">
        <v>1531</v>
      </c>
      <c r="E121" s="185" t="s">
        <v>249</v>
      </c>
      <c r="F121" t="s">
        <v>1932</v>
      </c>
      <c r="G121" s="194">
        <v>49</v>
      </c>
    </row>
    <row r="122" spans="1:7">
      <c r="A122" t="s">
        <v>1815</v>
      </c>
      <c r="B122" t="s">
        <v>1678</v>
      </c>
      <c r="C122" s="7" t="s">
        <v>219</v>
      </c>
      <c r="D122" t="s">
        <v>1474</v>
      </c>
      <c r="E122" s="185" t="s">
        <v>173</v>
      </c>
      <c r="F122" t="s">
        <v>1875</v>
      </c>
      <c r="G122" s="194">
        <v>1</v>
      </c>
    </row>
    <row r="123" spans="1:7">
      <c r="A123" t="s">
        <v>1815</v>
      </c>
      <c r="B123" t="s">
        <v>22</v>
      </c>
      <c r="C123" s="7" t="s">
        <v>1303</v>
      </c>
      <c r="D123" t="s">
        <v>2082</v>
      </c>
      <c r="E123" s="185" t="s">
        <v>174</v>
      </c>
      <c r="F123" t="s">
        <v>1416</v>
      </c>
      <c r="G123" s="194">
        <v>2</v>
      </c>
    </row>
    <row r="124" spans="1:7">
      <c r="A124" t="s">
        <v>1815</v>
      </c>
      <c r="B124" t="s">
        <v>1304</v>
      </c>
      <c r="C124" t="s">
        <v>1746</v>
      </c>
      <c r="D124" t="s">
        <v>1474</v>
      </c>
      <c r="E124" s="185" t="s">
        <v>175</v>
      </c>
      <c r="F124" t="s">
        <v>1875</v>
      </c>
      <c r="G124" s="194">
        <v>3</v>
      </c>
    </row>
    <row r="125" spans="1:7">
      <c r="A125" t="s">
        <v>1815</v>
      </c>
      <c r="B125" t="s">
        <v>1679</v>
      </c>
      <c r="D125" t="s">
        <v>2082</v>
      </c>
      <c r="E125" s="185" t="s">
        <v>176</v>
      </c>
      <c r="F125" t="s">
        <v>1416</v>
      </c>
      <c r="G125" s="194">
        <v>4</v>
      </c>
    </row>
    <row r="126" spans="1:7">
      <c r="A126" t="s">
        <v>1815</v>
      </c>
      <c r="B126" t="s">
        <v>1740</v>
      </c>
      <c r="C126" t="s">
        <v>1741</v>
      </c>
      <c r="D126" t="s">
        <v>2082</v>
      </c>
      <c r="E126" s="185" t="s">
        <v>177</v>
      </c>
      <c r="F126" t="s">
        <v>1416</v>
      </c>
      <c r="G126" s="194">
        <v>5</v>
      </c>
    </row>
    <row r="127" spans="1:7">
      <c r="A127" t="s">
        <v>1815</v>
      </c>
      <c r="B127" t="s">
        <v>24</v>
      </c>
      <c r="C127" s="7" t="s">
        <v>23</v>
      </c>
      <c r="D127" t="s">
        <v>1488</v>
      </c>
      <c r="E127" s="185" t="s">
        <v>178</v>
      </c>
      <c r="F127" t="s">
        <v>1889</v>
      </c>
      <c r="G127" s="194">
        <v>6</v>
      </c>
    </row>
    <row r="128" spans="1:7">
      <c r="A128" t="s">
        <v>1815</v>
      </c>
      <c r="B128" t="s">
        <v>28</v>
      </c>
      <c r="C128" s="7"/>
      <c r="D128" t="s">
        <v>2082</v>
      </c>
      <c r="E128" s="185" t="s">
        <v>29</v>
      </c>
      <c r="F128" s="185" t="s">
        <v>1416</v>
      </c>
      <c r="G128" s="194">
        <v>16</v>
      </c>
    </row>
    <row r="129" spans="1:7">
      <c r="A129" t="s">
        <v>1815</v>
      </c>
      <c r="B129" t="s">
        <v>1305</v>
      </c>
      <c r="D129" t="s">
        <v>1474</v>
      </c>
      <c r="E129" s="185" t="s">
        <v>179</v>
      </c>
      <c r="F129" t="s">
        <v>1875</v>
      </c>
      <c r="G129" s="194">
        <v>7</v>
      </c>
    </row>
    <row r="130" spans="1:7">
      <c r="A130" t="s">
        <v>1815</v>
      </c>
      <c r="B130" t="s">
        <v>25</v>
      </c>
      <c r="C130" t="s">
        <v>1306</v>
      </c>
      <c r="D130" t="s">
        <v>1542</v>
      </c>
      <c r="E130" s="185" t="s">
        <v>180</v>
      </c>
      <c r="F130" t="s">
        <v>1943</v>
      </c>
      <c r="G130" s="194">
        <v>8</v>
      </c>
    </row>
    <row r="131" spans="1:7">
      <c r="A131" t="s">
        <v>1815</v>
      </c>
      <c r="B131" t="s">
        <v>1737</v>
      </c>
      <c r="C131" s="7" t="s">
        <v>220</v>
      </c>
      <c r="D131" t="s">
        <v>1474</v>
      </c>
      <c r="E131" s="185" t="s">
        <v>181</v>
      </c>
      <c r="F131" t="s">
        <v>1875</v>
      </c>
      <c r="G131" s="194">
        <v>9</v>
      </c>
    </row>
    <row r="132" spans="1:7">
      <c r="A132" t="s">
        <v>1815</v>
      </c>
      <c r="B132" t="s">
        <v>1307</v>
      </c>
      <c r="D132" t="s">
        <v>2082</v>
      </c>
      <c r="E132" s="185" t="s">
        <v>182</v>
      </c>
      <c r="F132" t="s">
        <v>1416</v>
      </c>
      <c r="G132" s="194">
        <v>10</v>
      </c>
    </row>
    <row r="133" spans="1:7">
      <c r="A133" t="s">
        <v>1815</v>
      </c>
      <c r="B133" t="s">
        <v>1308</v>
      </c>
      <c r="C133" t="s">
        <v>451</v>
      </c>
      <c r="D133" t="s">
        <v>1448</v>
      </c>
      <c r="E133" s="185" t="s">
        <v>183</v>
      </c>
      <c r="F133" t="s">
        <v>1849</v>
      </c>
      <c r="G133" s="194">
        <v>11</v>
      </c>
    </row>
    <row r="134" spans="1:7">
      <c r="A134" t="s">
        <v>1815</v>
      </c>
      <c r="B134" t="s">
        <v>30</v>
      </c>
      <c r="D134" t="s">
        <v>1474</v>
      </c>
      <c r="E134" s="185" t="s">
        <v>31</v>
      </c>
      <c r="F134" s="185" t="s">
        <v>1875</v>
      </c>
      <c r="G134" s="194">
        <v>17</v>
      </c>
    </row>
    <row r="135" spans="1:7">
      <c r="A135" t="s">
        <v>1815</v>
      </c>
      <c r="B135" t="s">
        <v>26</v>
      </c>
      <c r="C135" t="s">
        <v>1309</v>
      </c>
      <c r="D135" t="s">
        <v>2040</v>
      </c>
      <c r="E135" s="185" t="s">
        <v>184</v>
      </c>
      <c r="F135" t="s">
        <v>2014</v>
      </c>
      <c r="G135" s="194">
        <v>12</v>
      </c>
    </row>
    <row r="136" spans="1:7">
      <c r="A136" t="s">
        <v>1815</v>
      </c>
      <c r="B136" t="s">
        <v>1681</v>
      </c>
      <c r="D136" t="s">
        <v>2095</v>
      </c>
      <c r="E136" s="185" t="s">
        <v>185</v>
      </c>
      <c r="F136" t="s">
        <v>1429</v>
      </c>
      <c r="G136" s="194">
        <v>13</v>
      </c>
    </row>
    <row r="137" spans="1:7">
      <c r="A137" t="s">
        <v>1815</v>
      </c>
      <c r="B137" t="s">
        <v>35</v>
      </c>
      <c r="D137" t="s">
        <v>2082</v>
      </c>
      <c r="E137" s="185" t="s">
        <v>36</v>
      </c>
      <c r="F137" s="185" t="s">
        <v>1416</v>
      </c>
      <c r="G137" s="194">
        <v>18</v>
      </c>
    </row>
    <row r="138" spans="1:7">
      <c r="A138" t="s">
        <v>1815</v>
      </c>
      <c r="B138" t="s">
        <v>1682</v>
      </c>
      <c r="D138" t="s">
        <v>1543</v>
      </c>
      <c r="E138" s="185" t="s">
        <v>186</v>
      </c>
      <c r="F138" t="s">
        <v>1944</v>
      </c>
      <c r="G138" s="194">
        <v>14</v>
      </c>
    </row>
    <row r="139" spans="1:7">
      <c r="A139" t="s">
        <v>1815</v>
      </c>
      <c r="B139" t="s">
        <v>1738</v>
      </c>
      <c r="C139" t="s">
        <v>452</v>
      </c>
      <c r="D139" t="s">
        <v>1474</v>
      </c>
      <c r="E139" s="185" t="s">
        <v>187</v>
      </c>
      <c r="F139" t="s">
        <v>1875</v>
      </c>
      <c r="G139" s="194">
        <v>15</v>
      </c>
    </row>
    <row r="140" spans="1:7">
      <c r="A140" t="s">
        <v>1816</v>
      </c>
      <c r="B140" t="s">
        <v>1310</v>
      </c>
      <c r="D140" t="s">
        <v>2082</v>
      </c>
      <c r="E140" s="185" t="s">
        <v>728</v>
      </c>
      <c r="F140" t="s">
        <v>1416</v>
      </c>
      <c r="G140" s="194">
        <v>1</v>
      </c>
    </row>
    <row r="141" spans="1:7">
      <c r="A141" t="s">
        <v>1816</v>
      </c>
      <c r="B141" t="s">
        <v>1311</v>
      </c>
      <c r="D141" t="s">
        <v>1474</v>
      </c>
      <c r="E141" s="185" t="s">
        <v>729</v>
      </c>
      <c r="F141" t="s">
        <v>1875</v>
      </c>
      <c r="G141" s="194">
        <v>2</v>
      </c>
    </row>
    <row r="142" spans="1:7">
      <c r="A142" t="s">
        <v>1816</v>
      </c>
      <c r="B142" t="s">
        <v>1683</v>
      </c>
      <c r="D142" t="s">
        <v>1474</v>
      </c>
      <c r="E142" s="185" t="s">
        <v>730</v>
      </c>
      <c r="F142" t="s">
        <v>1875</v>
      </c>
      <c r="G142" s="194">
        <v>3</v>
      </c>
    </row>
    <row r="143" spans="1:7">
      <c r="A143" t="s">
        <v>1816</v>
      </c>
      <c r="B143" t="s">
        <v>1690</v>
      </c>
      <c r="D143" t="s">
        <v>1474</v>
      </c>
      <c r="E143" s="185" t="s">
        <v>731</v>
      </c>
      <c r="F143" t="s">
        <v>1875</v>
      </c>
      <c r="G143" s="194">
        <v>4</v>
      </c>
    </row>
    <row r="144" spans="1:7">
      <c r="A144" t="s">
        <v>1816</v>
      </c>
      <c r="B144" t="s">
        <v>1684</v>
      </c>
      <c r="C144" s="7" t="s">
        <v>221</v>
      </c>
      <c r="D144" t="s">
        <v>1474</v>
      </c>
      <c r="E144" s="185" t="s">
        <v>732</v>
      </c>
      <c r="F144" t="s">
        <v>1875</v>
      </c>
      <c r="G144" s="194">
        <v>5</v>
      </c>
    </row>
    <row r="145" spans="1:7">
      <c r="A145" t="s">
        <v>1816</v>
      </c>
      <c r="B145" t="s">
        <v>1685</v>
      </c>
      <c r="D145" t="s">
        <v>1474</v>
      </c>
      <c r="E145" s="185" t="s">
        <v>733</v>
      </c>
      <c r="F145" t="s">
        <v>1875</v>
      </c>
      <c r="G145" s="194">
        <v>6</v>
      </c>
    </row>
    <row r="146" spans="1:7">
      <c r="A146" t="s">
        <v>1816</v>
      </c>
      <c r="B146" t="s">
        <v>1312</v>
      </c>
      <c r="C146" s="7" t="s">
        <v>222</v>
      </c>
      <c r="D146" t="s">
        <v>2082</v>
      </c>
      <c r="E146" s="185" t="s">
        <v>734</v>
      </c>
      <c r="F146" t="s">
        <v>1416</v>
      </c>
      <c r="G146" s="194">
        <v>7</v>
      </c>
    </row>
    <row r="147" spans="1:7">
      <c r="A147" t="s">
        <v>1816</v>
      </c>
      <c r="B147" t="s">
        <v>1686</v>
      </c>
      <c r="C147" s="7" t="s">
        <v>812</v>
      </c>
      <c r="D147" t="s">
        <v>1488</v>
      </c>
      <c r="E147" s="185" t="s">
        <v>735</v>
      </c>
      <c r="F147" t="s">
        <v>1889</v>
      </c>
      <c r="G147" s="194">
        <v>8</v>
      </c>
    </row>
    <row r="148" spans="1:7">
      <c r="A148" t="s">
        <v>1816</v>
      </c>
      <c r="B148" t="s">
        <v>1313</v>
      </c>
      <c r="D148" t="s">
        <v>1474</v>
      </c>
      <c r="E148" s="185" t="s">
        <v>736</v>
      </c>
      <c r="F148" t="s">
        <v>1875</v>
      </c>
      <c r="G148" s="194">
        <v>9</v>
      </c>
    </row>
    <row r="149" spans="1:7">
      <c r="A149" t="s">
        <v>1816</v>
      </c>
      <c r="B149" t="s">
        <v>1314</v>
      </c>
      <c r="D149" t="s">
        <v>1474</v>
      </c>
      <c r="E149" s="185" t="s">
        <v>737</v>
      </c>
      <c r="F149" t="s">
        <v>1875</v>
      </c>
      <c r="G149" s="194">
        <v>10</v>
      </c>
    </row>
    <row r="150" spans="1:7">
      <c r="A150" t="s">
        <v>1816</v>
      </c>
      <c r="B150" t="s">
        <v>1687</v>
      </c>
      <c r="D150" t="s">
        <v>1474</v>
      </c>
      <c r="E150" s="185" t="s">
        <v>738</v>
      </c>
      <c r="F150" t="s">
        <v>1875</v>
      </c>
      <c r="G150" s="194">
        <v>11</v>
      </c>
    </row>
    <row r="151" spans="1:7">
      <c r="A151" t="s">
        <v>1816</v>
      </c>
      <c r="B151" t="s">
        <v>1688</v>
      </c>
      <c r="D151" t="s">
        <v>1448</v>
      </c>
      <c r="E151" s="185" t="s">
        <v>739</v>
      </c>
      <c r="F151" t="s">
        <v>1849</v>
      </c>
      <c r="G151" s="194">
        <v>12</v>
      </c>
    </row>
    <row r="152" spans="1:7">
      <c r="A152" t="s">
        <v>1816</v>
      </c>
      <c r="B152" t="s">
        <v>1689</v>
      </c>
      <c r="D152" t="s">
        <v>2040</v>
      </c>
      <c r="E152" s="185" t="s">
        <v>740</v>
      </c>
      <c r="F152" t="s">
        <v>2014</v>
      </c>
      <c r="G152" s="194">
        <v>13</v>
      </c>
    </row>
    <row r="153" spans="1:7">
      <c r="A153" t="s">
        <v>1816</v>
      </c>
      <c r="B153" t="s">
        <v>1315</v>
      </c>
      <c r="D153" t="s">
        <v>1474</v>
      </c>
      <c r="E153" s="185" t="s">
        <v>741</v>
      </c>
      <c r="F153" t="s">
        <v>1875</v>
      </c>
      <c r="G153" s="194">
        <v>14</v>
      </c>
    </row>
    <row r="154" spans="1:7">
      <c r="G154" s="194"/>
    </row>
    <row r="155" spans="1:7">
      <c r="G155" s="194"/>
    </row>
    <row r="156" spans="1:7">
      <c r="G156" s="194"/>
    </row>
    <row r="157" spans="1:7">
      <c r="G157" s="194"/>
    </row>
    <row r="158" spans="1:7">
      <c r="G158" s="194"/>
    </row>
    <row r="159" spans="1:7">
      <c r="G159" s="194"/>
    </row>
    <row r="160" spans="1:7">
      <c r="G160" s="194"/>
    </row>
    <row r="161" spans="7:7">
      <c r="G161" s="194"/>
    </row>
    <row r="162" spans="7:7">
      <c r="G162" s="194"/>
    </row>
    <row r="163" spans="7:7">
      <c r="G163" s="194"/>
    </row>
    <row r="164" spans="7:7">
      <c r="G164" s="194"/>
    </row>
    <row r="165" spans="7:7">
      <c r="G165" s="194"/>
    </row>
    <row r="166" spans="7:7">
      <c r="G166" s="194"/>
    </row>
    <row r="167" spans="7:7">
      <c r="G167" s="194"/>
    </row>
    <row r="168" spans="7:7">
      <c r="G168" s="194"/>
    </row>
    <row r="169" spans="7:7">
      <c r="G169" s="194"/>
    </row>
    <row r="170" spans="7:7">
      <c r="G170" s="194"/>
    </row>
    <row r="171" spans="7:7">
      <c r="G171" s="194"/>
    </row>
    <row r="172" spans="7:7">
      <c r="G172" s="194"/>
    </row>
    <row r="173" spans="7:7">
      <c r="G173" s="194"/>
    </row>
    <row r="174" spans="7:7">
      <c r="G174" s="194"/>
    </row>
    <row r="175" spans="7:7">
      <c r="G175" s="194"/>
    </row>
    <row r="176" spans="7:7">
      <c r="G176" s="194"/>
    </row>
    <row r="177" spans="7:7">
      <c r="G177" s="194"/>
    </row>
    <row r="178" spans="7:7">
      <c r="G178" s="194"/>
    </row>
    <row r="179" spans="7:7">
      <c r="G179" s="194"/>
    </row>
    <row r="180" spans="7:7">
      <c r="G180" s="194"/>
    </row>
    <row r="181" spans="7:7">
      <c r="G181" s="194"/>
    </row>
    <row r="182" spans="7:7">
      <c r="G182" s="194"/>
    </row>
    <row r="183" spans="7:7">
      <c r="G183" s="194"/>
    </row>
    <row r="184" spans="7:7">
      <c r="G184" s="194"/>
    </row>
    <row r="185" spans="7:7">
      <c r="G185" s="194"/>
    </row>
    <row r="186" spans="7:7">
      <c r="G186" s="194"/>
    </row>
    <row r="187" spans="7:7">
      <c r="G187" s="194"/>
    </row>
    <row r="188" spans="7:7">
      <c r="G188" s="194"/>
    </row>
    <row r="189" spans="7:7">
      <c r="G189" s="194"/>
    </row>
    <row r="190" spans="7:7">
      <c r="G190" s="194"/>
    </row>
    <row r="191" spans="7:7">
      <c r="G191" s="194"/>
    </row>
    <row r="192" spans="7:7">
      <c r="G192" s="194"/>
    </row>
    <row r="193" spans="7:7">
      <c r="G193" s="194"/>
    </row>
    <row r="194" spans="7:7">
      <c r="G194" s="194"/>
    </row>
    <row r="195" spans="7:7">
      <c r="G195" s="194"/>
    </row>
    <row r="196" spans="7:7">
      <c r="G196" s="194"/>
    </row>
    <row r="197" spans="7:7">
      <c r="G197" s="194"/>
    </row>
    <row r="198" spans="7:7">
      <c r="G198" s="194"/>
    </row>
    <row r="199" spans="7:7">
      <c r="G199" s="194"/>
    </row>
    <row r="200" spans="7:7">
      <c r="G200" s="194"/>
    </row>
    <row r="201" spans="7:7">
      <c r="G201" s="194"/>
    </row>
    <row r="202" spans="7:7">
      <c r="G202" s="194"/>
    </row>
    <row r="203" spans="7:7">
      <c r="G203" s="194"/>
    </row>
    <row r="204" spans="7:7">
      <c r="G204" s="194"/>
    </row>
    <row r="205" spans="7:7">
      <c r="G205" s="194"/>
    </row>
    <row r="206" spans="7:7">
      <c r="G206" s="194"/>
    </row>
    <row r="207" spans="7:7">
      <c r="G207" s="194"/>
    </row>
    <row r="208" spans="7:7">
      <c r="G208" s="194"/>
    </row>
    <row r="209" spans="7:7">
      <c r="G209" s="194"/>
    </row>
    <row r="210" spans="7:7">
      <c r="G210" s="194"/>
    </row>
    <row r="211" spans="7:7">
      <c r="G211" s="194"/>
    </row>
    <row r="212" spans="7:7">
      <c r="G212" s="194"/>
    </row>
    <row r="213" spans="7:7">
      <c r="G213" s="194"/>
    </row>
    <row r="214" spans="7:7">
      <c r="G214" s="194"/>
    </row>
    <row r="215" spans="7:7">
      <c r="G215" s="194"/>
    </row>
    <row r="216" spans="7:7">
      <c r="G216" s="194"/>
    </row>
    <row r="217" spans="7:7">
      <c r="G217" s="194"/>
    </row>
    <row r="218" spans="7:7">
      <c r="G218" s="194"/>
    </row>
    <row r="219" spans="7:7">
      <c r="G219" s="194"/>
    </row>
    <row r="220" spans="7:7">
      <c r="G220" s="194"/>
    </row>
    <row r="221" spans="7:7">
      <c r="G221" s="194"/>
    </row>
    <row r="222" spans="7:7">
      <c r="G222" s="194"/>
    </row>
    <row r="223" spans="7:7">
      <c r="G223" s="194"/>
    </row>
    <row r="224" spans="7:7">
      <c r="G224" s="194"/>
    </row>
    <row r="225" spans="7:7">
      <c r="G225" s="194"/>
    </row>
    <row r="226" spans="7:7">
      <c r="G226" s="194"/>
    </row>
    <row r="227" spans="7:7">
      <c r="G227" s="194"/>
    </row>
    <row r="228" spans="7:7">
      <c r="G228" s="194"/>
    </row>
    <row r="229" spans="7:7">
      <c r="G229" s="194"/>
    </row>
    <row r="230" spans="7:7">
      <c r="G230" s="194"/>
    </row>
    <row r="231" spans="7:7">
      <c r="G231" s="194"/>
    </row>
    <row r="232" spans="7:7">
      <c r="G232" s="194"/>
    </row>
    <row r="233" spans="7:7">
      <c r="G233" s="194"/>
    </row>
    <row r="234" spans="7:7">
      <c r="G234" s="194"/>
    </row>
    <row r="235" spans="7:7">
      <c r="G235" s="194"/>
    </row>
    <row r="236" spans="7:7">
      <c r="G236" s="194"/>
    </row>
    <row r="237" spans="7:7">
      <c r="G237" s="194"/>
    </row>
    <row r="238" spans="7:7">
      <c r="G238" s="194"/>
    </row>
    <row r="239" spans="7:7">
      <c r="G239" s="194"/>
    </row>
    <row r="240" spans="7:7">
      <c r="G240" s="194"/>
    </row>
    <row r="241" spans="7:7">
      <c r="G241" s="194"/>
    </row>
    <row r="242" spans="7:7">
      <c r="G242" s="194"/>
    </row>
    <row r="243" spans="7:7">
      <c r="G243" s="194"/>
    </row>
    <row r="244" spans="7:7">
      <c r="G244" s="194"/>
    </row>
    <row r="245" spans="7:7">
      <c r="G245" s="194"/>
    </row>
    <row r="246" spans="7:7">
      <c r="G246" s="194"/>
    </row>
    <row r="247" spans="7:7">
      <c r="G247" s="194"/>
    </row>
    <row r="248" spans="7:7">
      <c r="G248" s="194"/>
    </row>
    <row r="249" spans="7:7">
      <c r="G249" s="194"/>
    </row>
    <row r="250" spans="7:7">
      <c r="G250" s="194"/>
    </row>
    <row r="251" spans="7:7">
      <c r="G251" s="194"/>
    </row>
    <row r="252" spans="7:7">
      <c r="G252" s="194"/>
    </row>
    <row r="253" spans="7:7">
      <c r="G253" s="194"/>
    </row>
    <row r="254" spans="7:7">
      <c r="G254" s="194"/>
    </row>
    <row r="255" spans="7:7">
      <c r="G255" s="194"/>
    </row>
    <row r="256" spans="7:7">
      <c r="G256" s="194"/>
    </row>
    <row r="257" spans="7:7">
      <c r="G257" s="194"/>
    </row>
    <row r="258" spans="7:7">
      <c r="G258" s="194"/>
    </row>
    <row r="259" spans="7:7">
      <c r="G259" s="194"/>
    </row>
    <row r="260" spans="7:7">
      <c r="G260" s="194"/>
    </row>
    <row r="261" spans="7:7">
      <c r="G261" s="194"/>
    </row>
    <row r="262" spans="7:7">
      <c r="G262" s="194"/>
    </row>
    <row r="263" spans="7:7">
      <c r="G263" s="194"/>
    </row>
    <row r="264" spans="7:7">
      <c r="G264" s="194"/>
    </row>
    <row r="265" spans="7:7">
      <c r="G265" s="194"/>
    </row>
    <row r="266" spans="7:7">
      <c r="G266" s="194"/>
    </row>
    <row r="267" spans="7:7">
      <c r="G267" s="194"/>
    </row>
    <row r="268" spans="7:7">
      <c r="G268" s="194"/>
    </row>
    <row r="269" spans="7:7">
      <c r="G269" s="194"/>
    </row>
    <row r="270" spans="7:7">
      <c r="G270" s="194"/>
    </row>
    <row r="271" spans="7:7">
      <c r="G271" s="194"/>
    </row>
    <row r="272" spans="7:7">
      <c r="G272" s="194"/>
    </row>
    <row r="273" spans="7:7">
      <c r="G273" s="194"/>
    </row>
    <row r="274" spans="7:7">
      <c r="G274" s="194"/>
    </row>
    <row r="275" spans="7:7">
      <c r="G275" s="194"/>
    </row>
    <row r="276" spans="7:7">
      <c r="G276" s="194"/>
    </row>
    <row r="277" spans="7:7">
      <c r="G277" s="194"/>
    </row>
    <row r="278" spans="7:7">
      <c r="G278" s="194"/>
    </row>
    <row r="279" spans="7:7">
      <c r="G279" s="194"/>
    </row>
    <row r="280" spans="7:7">
      <c r="G280" s="194"/>
    </row>
    <row r="281" spans="7:7">
      <c r="G281" s="194"/>
    </row>
    <row r="282" spans="7:7">
      <c r="G282" s="194"/>
    </row>
    <row r="283" spans="7:7">
      <c r="G283" s="194"/>
    </row>
    <row r="284" spans="7:7">
      <c r="G284" s="194"/>
    </row>
    <row r="285" spans="7:7">
      <c r="G285" s="194"/>
    </row>
    <row r="286" spans="7:7">
      <c r="G286" s="194"/>
    </row>
    <row r="287" spans="7:7">
      <c r="G287" s="194"/>
    </row>
    <row r="288" spans="7:7">
      <c r="G288" s="194"/>
    </row>
    <row r="289" spans="7:7">
      <c r="G289" s="194"/>
    </row>
    <row r="290" spans="7:7">
      <c r="G290" s="194"/>
    </row>
    <row r="291" spans="7:7">
      <c r="G291" s="194"/>
    </row>
    <row r="292" spans="7:7">
      <c r="G292" s="194"/>
    </row>
    <row r="293" spans="7:7">
      <c r="G293" s="194"/>
    </row>
    <row r="294" spans="7:7">
      <c r="G294" s="194"/>
    </row>
    <row r="295" spans="7:7">
      <c r="G295" s="194"/>
    </row>
    <row r="296" spans="7:7">
      <c r="G296" s="194"/>
    </row>
    <row r="297" spans="7:7">
      <c r="G297" s="194"/>
    </row>
    <row r="298" spans="7:7">
      <c r="G298" s="194"/>
    </row>
    <row r="299" spans="7:7">
      <c r="G299" s="194"/>
    </row>
    <row r="300" spans="7:7">
      <c r="G300" s="194"/>
    </row>
    <row r="301" spans="7:7">
      <c r="G301" s="194"/>
    </row>
    <row r="302" spans="7:7">
      <c r="G302" s="194"/>
    </row>
    <row r="303" spans="7:7">
      <c r="G303" s="194"/>
    </row>
    <row r="304" spans="7:7">
      <c r="G304" s="194"/>
    </row>
    <row r="305" spans="7:7">
      <c r="G305" s="194"/>
    </row>
    <row r="306" spans="7:7">
      <c r="G306" s="194"/>
    </row>
    <row r="307" spans="7:7">
      <c r="G307" s="194"/>
    </row>
    <row r="308" spans="7:7">
      <c r="G308" s="194"/>
    </row>
    <row r="309" spans="7:7">
      <c r="G309" s="194"/>
    </row>
    <row r="310" spans="7:7">
      <c r="G310" s="194"/>
    </row>
    <row r="311" spans="7:7">
      <c r="G311" s="194"/>
    </row>
    <row r="312" spans="7:7">
      <c r="G312" s="194"/>
    </row>
    <row r="313" spans="7:7">
      <c r="G313" s="194"/>
    </row>
    <row r="314" spans="7:7">
      <c r="G314" s="194"/>
    </row>
    <row r="315" spans="7:7">
      <c r="G315" s="194"/>
    </row>
    <row r="316" spans="7:7">
      <c r="G316" s="194"/>
    </row>
    <row r="317" spans="7:7">
      <c r="G317" s="194"/>
    </row>
    <row r="318" spans="7:7">
      <c r="G318" s="194"/>
    </row>
    <row r="319" spans="7:7">
      <c r="G319" s="194"/>
    </row>
    <row r="320" spans="7:7">
      <c r="G320" s="194"/>
    </row>
    <row r="321" spans="7:7">
      <c r="G321" s="194"/>
    </row>
    <row r="322" spans="7:7">
      <c r="G322" s="194"/>
    </row>
    <row r="323" spans="7:7">
      <c r="G323" s="194"/>
    </row>
    <row r="324" spans="7:7">
      <c r="G324" s="194"/>
    </row>
    <row r="325" spans="7:7">
      <c r="G325" s="194"/>
    </row>
    <row r="326" spans="7:7">
      <c r="G326" s="194"/>
    </row>
    <row r="327" spans="7:7">
      <c r="G327" s="194"/>
    </row>
    <row r="328" spans="7:7">
      <c r="G328" s="194"/>
    </row>
    <row r="329" spans="7:7">
      <c r="G329" s="194"/>
    </row>
    <row r="330" spans="7:7">
      <c r="G330" s="194"/>
    </row>
    <row r="331" spans="7:7">
      <c r="G331" s="194"/>
    </row>
    <row r="332" spans="7:7">
      <c r="G332" s="194"/>
    </row>
    <row r="333" spans="7:7">
      <c r="G333" s="194"/>
    </row>
    <row r="334" spans="7:7">
      <c r="G334" s="194"/>
    </row>
    <row r="335" spans="7:7">
      <c r="G335" s="194"/>
    </row>
    <row r="336" spans="7:7">
      <c r="G336" s="194"/>
    </row>
    <row r="337" spans="7:7">
      <c r="G337" s="194"/>
    </row>
    <row r="338" spans="7:7">
      <c r="G338" s="194"/>
    </row>
    <row r="339" spans="7:7">
      <c r="G339" s="194"/>
    </row>
    <row r="340" spans="7:7">
      <c r="G340" s="194"/>
    </row>
    <row r="341" spans="7:7">
      <c r="G341" s="194"/>
    </row>
    <row r="342" spans="7:7">
      <c r="G342" s="194"/>
    </row>
    <row r="343" spans="7:7">
      <c r="G343" s="194"/>
    </row>
    <row r="344" spans="7:7">
      <c r="G344" s="194"/>
    </row>
    <row r="345" spans="7:7">
      <c r="G345" s="194"/>
    </row>
    <row r="346" spans="7:7">
      <c r="G346" s="194"/>
    </row>
    <row r="347" spans="7:7">
      <c r="G347" s="194"/>
    </row>
    <row r="348" spans="7:7">
      <c r="G348" s="194"/>
    </row>
    <row r="349" spans="7:7">
      <c r="G349" s="194"/>
    </row>
    <row r="350" spans="7:7">
      <c r="G350" s="194"/>
    </row>
    <row r="351" spans="7:7">
      <c r="G351" s="194"/>
    </row>
    <row r="352" spans="7:7">
      <c r="G352" s="194"/>
    </row>
    <row r="353" spans="7:7">
      <c r="G353" s="194"/>
    </row>
    <row r="354" spans="7:7">
      <c r="G354" s="194"/>
    </row>
    <row r="355" spans="7:7">
      <c r="G355" s="194"/>
    </row>
    <row r="356" spans="7:7">
      <c r="G356" s="194"/>
    </row>
    <row r="357" spans="7:7">
      <c r="G357" s="194"/>
    </row>
    <row r="358" spans="7:7">
      <c r="G358" s="194"/>
    </row>
    <row r="359" spans="7:7">
      <c r="G359" s="194"/>
    </row>
    <row r="360" spans="7:7">
      <c r="G360" s="194"/>
    </row>
    <row r="361" spans="7:7">
      <c r="G361" s="194"/>
    </row>
    <row r="362" spans="7:7">
      <c r="G362" s="194"/>
    </row>
    <row r="363" spans="7:7">
      <c r="G363" s="194"/>
    </row>
    <row r="364" spans="7:7">
      <c r="G364" s="194"/>
    </row>
    <row r="365" spans="7:7">
      <c r="G365" s="194"/>
    </row>
    <row r="366" spans="7:7">
      <c r="G366" s="194"/>
    </row>
    <row r="367" spans="7:7">
      <c r="G367" s="194"/>
    </row>
    <row r="368" spans="7:7">
      <c r="G368" s="194"/>
    </row>
    <row r="369" spans="7:7">
      <c r="G369" s="194"/>
    </row>
    <row r="370" spans="7:7">
      <c r="G370" s="194"/>
    </row>
    <row r="371" spans="7:7">
      <c r="G371" s="194"/>
    </row>
    <row r="372" spans="7:7">
      <c r="G372" s="194"/>
    </row>
    <row r="373" spans="7:7">
      <c r="G373" s="194"/>
    </row>
    <row r="374" spans="7:7">
      <c r="G374" s="194"/>
    </row>
    <row r="375" spans="7:7">
      <c r="G375" s="194"/>
    </row>
    <row r="376" spans="7:7">
      <c r="G376" s="194"/>
    </row>
    <row r="377" spans="7:7">
      <c r="G377" s="194"/>
    </row>
    <row r="378" spans="7:7">
      <c r="G378" s="194"/>
    </row>
    <row r="379" spans="7:7">
      <c r="G379" s="194"/>
    </row>
    <row r="380" spans="7:7">
      <c r="G380" s="194"/>
    </row>
    <row r="381" spans="7:7">
      <c r="G381" s="194"/>
    </row>
    <row r="382" spans="7:7">
      <c r="G382" s="194"/>
    </row>
    <row r="383" spans="7:7">
      <c r="G383" s="194"/>
    </row>
    <row r="384" spans="7:7">
      <c r="G384" s="194"/>
    </row>
    <row r="385" spans="7:7">
      <c r="G385" s="194"/>
    </row>
    <row r="386" spans="7:7">
      <c r="G386" s="194"/>
    </row>
    <row r="387" spans="7:7">
      <c r="G387" s="194"/>
    </row>
    <row r="388" spans="7:7">
      <c r="G388" s="194"/>
    </row>
    <row r="389" spans="7:7">
      <c r="G389" s="194"/>
    </row>
    <row r="390" spans="7:7">
      <c r="G390" s="194"/>
    </row>
    <row r="391" spans="7:7">
      <c r="G391" s="194"/>
    </row>
    <row r="392" spans="7:7">
      <c r="G392" s="194"/>
    </row>
    <row r="393" spans="7:7">
      <c r="G393" s="194"/>
    </row>
    <row r="394" spans="7:7">
      <c r="G394" s="194"/>
    </row>
    <row r="395" spans="7:7">
      <c r="G395" s="194"/>
    </row>
    <row r="396" spans="7:7">
      <c r="G396" s="194"/>
    </row>
    <row r="397" spans="7:7">
      <c r="G397" s="194"/>
    </row>
    <row r="398" spans="7:7">
      <c r="G398" s="194"/>
    </row>
    <row r="399" spans="7:7">
      <c r="G399" s="194"/>
    </row>
    <row r="400" spans="7:7">
      <c r="G400" s="194"/>
    </row>
    <row r="401" spans="7:7">
      <c r="G401" s="194"/>
    </row>
    <row r="402" spans="7:7">
      <c r="G402" s="194"/>
    </row>
    <row r="403" spans="7:7">
      <c r="G403" s="194"/>
    </row>
    <row r="404" spans="7:7">
      <c r="G404" s="194"/>
    </row>
    <row r="405" spans="7:7">
      <c r="G405" s="194"/>
    </row>
    <row r="406" spans="7:7">
      <c r="G406" s="194"/>
    </row>
    <row r="407" spans="7:7">
      <c r="G407" s="194"/>
    </row>
    <row r="408" spans="7:7">
      <c r="G408" s="194"/>
    </row>
    <row r="409" spans="7:7">
      <c r="G409" s="194"/>
    </row>
    <row r="410" spans="7:7">
      <c r="G410" s="194"/>
    </row>
    <row r="411" spans="7:7">
      <c r="G411" s="194"/>
    </row>
    <row r="412" spans="7:7">
      <c r="G412" s="194"/>
    </row>
    <row r="413" spans="7:7">
      <c r="G413" s="194"/>
    </row>
    <row r="414" spans="7:7">
      <c r="G414" s="194"/>
    </row>
    <row r="415" spans="7:7">
      <c r="G415" s="194"/>
    </row>
    <row r="416" spans="7:7">
      <c r="G416" s="194"/>
    </row>
    <row r="417" spans="7:7">
      <c r="G417" s="194"/>
    </row>
    <row r="418" spans="7:7">
      <c r="G418" s="194"/>
    </row>
    <row r="419" spans="7:7">
      <c r="G419" s="194"/>
    </row>
    <row r="420" spans="7:7">
      <c r="G420" s="194"/>
    </row>
    <row r="421" spans="7:7">
      <c r="G421" s="194"/>
    </row>
    <row r="422" spans="7:7">
      <c r="G422" s="194"/>
    </row>
    <row r="423" spans="7:7">
      <c r="G423" s="194"/>
    </row>
    <row r="424" spans="7:7">
      <c r="G424" s="194"/>
    </row>
    <row r="425" spans="7:7">
      <c r="G425" s="194"/>
    </row>
    <row r="426" spans="7:7">
      <c r="G426" s="194"/>
    </row>
    <row r="427" spans="7:7">
      <c r="G427" s="194"/>
    </row>
    <row r="428" spans="7:7">
      <c r="G428" s="194"/>
    </row>
    <row r="429" spans="7:7">
      <c r="G429" s="194"/>
    </row>
    <row r="430" spans="7:7">
      <c r="G430" s="194"/>
    </row>
    <row r="431" spans="7:7">
      <c r="G431" s="194"/>
    </row>
    <row r="432" spans="7:7">
      <c r="G432" s="194"/>
    </row>
    <row r="433" spans="7:7">
      <c r="G433" s="194"/>
    </row>
  </sheetData>
  <sheetProtection password="C453" sheet="1" objects="1" scenarios="1"/>
  <mergeCells count="1">
    <mergeCell ref="A1:D1"/>
  </mergeCells>
  <phoneticPr fontId="0"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08"/>
  <sheetViews>
    <sheetView showZeros="0" workbookViewId="0">
      <pane ySplit="3" topLeftCell="A4" activePane="bottomLeft" state="frozen"/>
      <selection pane="bottomLeft" activeCell="B16" sqref="B16"/>
    </sheetView>
  </sheetViews>
  <sheetFormatPr defaultColWidth="8.75" defaultRowHeight="12.75"/>
  <cols>
    <col min="1" max="1" width="45.125" style="79" customWidth="1"/>
    <col min="2" max="2" width="42.75" style="124" bestFit="1" customWidth="1"/>
    <col min="3" max="3" width="51.5" style="79" customWidth="1"/>
    <col min="4" max="4" width="26.625" style="124" bestFit="1" customWidth="1"/>
    <col min="5" max="5" width="8.75" style="79"/>
    <col min="6" max="6" width="13.5" style="79" hidden="1" customWidth="1"/>
    <col min="7" max="7" width="13.375" style="79" hidden="1" customWidth="1"/>
    <col min="8" max="11" width="9" style="79" hidden="1" customWidth="1"/>
    <col min="12" max="16384" width="8.75" style="79"/>
  </cols>
  <sheetData>
    <row r="1" spans="1:11" ht="30" customHeight="1">
      <c r="A1" s="320" t="str">
        <f>IF(Declaration!$D$3="English",A104,IF(Declaration!$D$3="中文 Chinese",B104,IF(Declaration!$D$3="日本語 Japanese",C104,IF(Declaration!$D$3="한국어 Korean",D104,IF(Declaration!$D$3="Français",E104,IF(Declaration!$D$3="Português",F99,IF(Declaration!$D$3="Deutsch",G99,IF(Declaration!$D$3="Español",H99))))))))</f>
        <v>To ensure all required fields have been populated before submitting to your customers review form for any line items highlighted in red</v>
      </c>
      <c r="B1" s="320"/>
      <c r="C1" s="320"/>
      <c r="D1" s="112" t="str">
        <f>IF(Declaration!$D$3="English",A105,IF(Declaration!$D$3="中文 Chinese",B105,IF(Declaration!$D$3="日本語 Japanese",C105,IF(Declaration!$D$3="한국어 Korean",D105,IF(Declaration!$D$3="Français",E105,IF(Declaration!$D$3="Português",F100,IF(Declaration!$D$3="Deutsch",G100,IF(Declaration!$D$3="Español",H100))))))))</f>
        <v>Required fields remaining to be completed</v>
      </c>
    </row>
    <row r="2" spans="1:11" ht="14.25">
      <c r="A2" s="113" t="s">
        <v>2104</v>
      </c>
      <c r="B2" s="206" t="str">
        <f>IF(Declaration!N27&gt;0,"Click here to return to Smelter List","")</f>
        <v>Click here to return to Smelter List</v>
      </c>
      <c r="C2" s="113" t="str">
        <f>IF(Declaration!D9=Declaration!B129,"Click here to return to Product List","")</f>
        <v/>
      </c>
      <c r="D2" s="114" t="e">
        <f>F56-F52</f>
        <v>#VALUE!</v>
      </c>
      <c r="F2" s="115" t="s">
        <v>2109</v>
      </c>
      <c r="G2" s="115" t="s">
        <v>2109</v>
      </c>
      <c r="H2" s="115" t="s">
        <v>2109</v>
      </c>
      <c r="I2" s="115" t="s">
        <v>2109</v>
      </c>
      <c r="J2" s="115" t="s">
        <v>2109</v>
      </c>
      <c r="K2" s="115" t="s">
        <v>2109</v>
      </c>
    </row>
    <row r="3" spans="1:11">
      <c r="A3" s="97" t="str">
        <f>IF(Declaration!$D$3="English",A106,IF(Declaration!$D$3="中文 Chinese",B106,IF(Declaration!$D$3="日本語 Japanese",C106,IF(Declaration!$D$3="한국어 Korean",D106,IF(Declaration!$D$3="Français",E106,IF(Declaration!$D$3="Português",F101,IF(Declaration!$D$3="Deutsch",G101,IF(Declaration!$D$3="Español",H101))))))))</f>
        <v>Required Fields</v>
      </c>
      <c r="B3" s="116" t="str">
        <f>IF(Declaration!$D$3="English",A107,IF(Declaration!$D$3="中文 Chinese",B107,IF(Declaration!$D$3="日本語 Japanese",C107,IF(Declaration!$D$3="한국어 Korean",D107,IF(Declaration!$D$3="Français",E107,IF(Declaration!$D$3="Português",F102,IF(Declaration!$D$3="Deutsch",G102,IF(Declaration!$D$3="Español",H102))))))))</f>
        <v>Answer provided</v>
      </c>
      <c r="C3" s="97" t="str">
        <f>IF(Declaration!$D$3="English",A108,IF(Declaration!$D$3="中文 Chinese",B108,IF(Declaration!$D$3="日本語 Japanese",C108,IF(Declaration!$D$3="한국어 Korean",D108,IF(Declaration!$D$3="Français",E108,IF(Declaration!$D$3="Português",F103,IF(Declaration!$D$3="Deutsch",G103,IF(Declaration!$D$3="Español",H103))))))))</f>
        <v>Notes</v>
      </c>
      <c r="D3" s="116" t="s">
        <v>2102</v>
      </c>
      <c r="F3" s="115" t="s">
        <v>2105</v>
      </c>
    </row>
    <row r="4" spans="1:11">
      <c r="A4" s="117" t="str">
        <f>Declaration!B8</f>
        <v>Company Name (*):</v>
      </c>
      <c r="B4" s="118" t="str">
        <f>Declaration!D8</f>
        <v>Green Status Pro</v>
      </c>
      <c r="C4" s="118" t="str">
        <f>IF(Declaration!D8="","Must provide your company name on the declaration tab cell D7","Completed")</f>
        <v>Completed</v>
      </c>
      <c r="D4" s="119" t="str">
        <f>IF(C4="Completed","","Click here to enter Company Name")</f>
        <v/>
      </c>
      <c r="F4" s="79">
        <f>IF(C4="Completed",1,0)</f>
        <v>1</v>
      </c>
    </row>
    <row r="5" spans="1:11">
      <c r="A5" s="117" t="str">
        <f>Declaration!B9</f>
        <v>Declaration Scope (*):</v>
      </c>
      <c r="B5" s="118" t="str">
        <f>Declaration!D9</f>
        <v>A. Company Level</v>
      </c>
      <c r="C5" s="118" t="str">
        <f>IF(Declaration!D9="","Must determine the scope of declaration on the declaration tab cell D8","Completed")</f>
        <v>Completed</v>
      </c>
      <c r="D5" s="119" t="str">
        <f>IF(C5="Completed","","Click here to enter Declaration Scope")</f>
        <v/>
      </c>
      <c r="F5" s="79">
        <f t="shared" ref="F5:F50" si="0">IF(C5="Completed",1,0)</f>
        <v>1</v>
      </c>
    </row>
    <row r="6" spans="1:11" ht="25.5">
      <c r="A6" s="118" t="str">
        <f>Declaration!B10</f>
        <v>Description of Scope:</v>
      </c>
      <c r="B6" s="118">
        <f>Declaration!D10</f>
        <v>0</v>
      </c>
      <c r="C6" s="118" t="str">
        <f>IF(G6=1,"Completed","Must provide Description of Scope on Declaration tab cell D9")</f>
        <v>Must provide Description of Scope on Declaration tab cell D9</v>
      </c>
      <c r="D6" s="119" t="str">
        <f>IF(A6="Description of Scope:","",IF(B5="D. Part/Product Level","",IF(C6="Completed","","Click here to provide a Description of Scope")))</f>
        <v/>
      </c>
      <c r="F6" s="79">
        <f t="shared" si="0"/>
        <v>0</v>
      </c>
      <c r="G6" s="115">
        <f>IF(Declaration!D10&lt;&gt;0,1,0)</f>
        <v>0</v>
      </c>
      <c r="H6" s="79">
        <f>Declaration!N12</f>
        <v>0</v>
      </c>
    </row>
    <row r="7" spans="1:11">
      <c r="A7" s="117" t="str">
        <f>Declaration!B14</f>
        <v>Authorized Company Representative Name (*):</v>
      </c>
      <c r="B7" s="118" t="str">
        <f>Declaration!D14</f>
        <v>Leo de Nevi</v>
      </c>
      <c r="C7" s="118" t="str">
        <f>IF(Declaration!D14="","Must provide Authorized Company Representative contact name in Declaration tab cell D12","Completed")</f>
        <v>Completed</v>
      </c>
      <c r="D7" s="119" t="str">
        <f>IF(C7="Completed","","Click here to enter an Authorized Company Representative's name")</f>
        <v/>
      </c>
      <c r="E7" s="115"/>
      <c r="F7" s="79">
        <f t="shared" si="0"/>
        <v>1</v>
      </c>
    </row>
    <row r="8" spans="1:11">
      <c r="A8" s="117" t="str">
        <f>Declaration!B16</f>
        <v>Representative Email (*):</v>
      </c>
      <c r="B8" s="118" t="str">
        <f>Declaration!D16</f>
        <v>leo.denevi@greenstatuspro.com</v>
      </c>
      <c r="C8" s="120" t="str">
        <f>IF(Declaration!D16="","Must provide an email for Authorized Company Representative on Declaration tab cell D14","Completed")</f>
        <v>Completed</v>
      </c>
      <c r="D8" s="119" t="str">
        <f>IF(C8="Completed","","Click here to enter Representative's email")</f>
        <v/>
      </c>
      <c r="F8" s="79">
        <f t="shared" si="0"/>
        <v>1</v>
      </c>
    </row>
    <row r="9" spans="1:11">
      <c r="A9" s="117" t="str">
        <f>Declaration!B18</f>
        <v>Date of Completion (*):</v>
      </c>
      <c r="B9" s="131">
        <f>Declaration!D18</f>
        <v>40328</v>
      </c>
      <c r="C9" s="118" t="str">
        <f>IF(Declaration!D18="","Must provide date the form was completed on Declaration tab cell D16","Completed")</f>
        <v>Completed</v>
      </c>
      <c r="D9" s="119" t="str">
        <f>IF(C9="Completed","","Click here to enter Date of Completion")</f>
        <v/>
      </c>
      <c r="F9" s="79">
        <f t="shared" si="0"/>
        <v>1</v>
      </c>
    </row>
    <row r="10" spans="1:11" ht="63.75">
      <c r="A10" s="121" t="str">
        <f>Declaration!B21</f>
        <v>1) Are any of the following metals necessary to the functionality or production of your company's products that it manufactures or contracts to manufacture? If no for all metals, you are done with this survey. (*)</v>
      </c>
      <c r="B10" s="122"/>
      <c r="C10" s="122"/>
      <c r="D10" s="122"/>
      <c r="G10" s="79">
        <f>IF(B11="No",1,0)</f>
        <v>0</v>
      </c>
    </row>
    <row r="11" spans="1:11">
      <c r="A11" s="123" t="str">
        <f>Declaration!B22</f>
        <v>Tantalum (Ta) (*)</v>
      </c>
      <c r="B11" s="118" t="str">
        <f>Declaration!D22</f>
        <v>Yes</v>
      </c>
      <c r="C11" s="118" t="str">
        <f>IF(Declaration!D22="","Must declare if Tantalum is in use within the scope of products declared within this survey response on the Declaration tab cell D19","Completed")</f>
        <v>Completed</v>
      </c>
      <c r="D11" s="119" t="str">
        <f>IF(C11="Completed","","Click here to answer question 1 for Tantalum")</f>
        <v/>
      </c>
      <c r="F11" s="79">
        <f t="shared" si="0"/>
        <v>1</v>
      </c>
      <c r="G11" s="79">
        <f>IF(B12="No",1,0)</f>
        <v>0</v>
      </c>
    </row>
    <row r="12" spans="1:11">
      <c r="A12" s="123" t="str">
        <f>Declaration!B23</f>
        <v>Tin (Sn) (*)</v>
      </c>
      <c r="B12" s="118" t="str">
        <f>Declaration!D23</f>
        <v>Yes</v>
      </c>
      <c r="C12" s="118" t="str">
        <f>IF(Declaration!D23="","Must declare if Tin is in use within the scope of products declared within this survey response on the Declaration tab cell D20","Completed")</f>
        <v>Completed</v>
      </c>
      <c r="D12" s="119" t="str">
        <f>IF(C12="Completed","","Click here to answer question 1 for Tin")</f>
        <v/>
      </c>
      <c r="F12" s="79">
        <f t="shared" si="0"/>
        <v>1</v>
      </c>
      <c r="G12" s="79">
        <f>IF(B13="No",1,0)</f>
        <v>0</v>
      </c>
    </row>
    <row r="13" spans="1:11">
      <c r="A13" s="123" t="str">
        <f>Declaration!B24</f>
        <v>Gold (Au) (*)</v>
      </c>
      <c r="B13" s="118" t="str">
        <f>Declaration!D24</f>
        <v>Yes</v>
      </c>
      <c r="C13" s="118" t="str">
        <f>IF(Declaration!D24="","Must declare if Gold is in use within the scope of products declared within this survey response on the Declaration tab cell D21","Completed")</f>
        <v>Completed</v>
      </c>
      <c r="D13" s="119" t="str">
        <f>IF(C13="Completed","","Click here to answer question 1 for Gold")</f>
        <v/>
      </c>
      <c r="F13" s="79">
        <f t="shared" si="0"/>
        <v>1</v>
      </c>
      <c r="G13" s="79">
        <f>IF(B14="No",1,0)</f>
        <v>0</v>
      </c>
    </row>
    <row r="14" spans="1:11">
      <c r="A14" s="123" t="str">
        <f>Declaration!B25</f>
        <v>Tungsten (W) (*)</v>
      </c>
      <c r="B14" s="118" t="str">
        <f>Declaration!D25</f>
        <v>Yes</v>
      </c>
      <c r="C14" s="118" t="str">
        <f>IF(Declaration!D25="","Must declare if Tungsten is in use within the scope of products declared within this survey response on the Declaration tab cell D22","Completed")</f>
        <v>Completed</v>
      </c>
      <c r="D14" s="119" t="str">
        <f>IF(C14="Completed","","Click here to answer question 1 for Tungsten")</f>
        <v/>
      </c>
      <c r="F14" s="79">
        <f t="shared" si="0"/>
        <v>1</v>
      </c>
      <c r="G14" s="79">
        <f>SUM(G10:G13)</f>
        <v>0</v>
      </c>
    </row>
    <row r="15" spans="1:11" ht="51">
      <c r="A15" s="121" t="str">
        <f>Declaration!B27</f>
        <v>2) Do the following metals (necessary to the functionality or production of your company's products) originate from the DRC or an adjoining country? (*)</v>
      </c>
      <c r="B15" s="122"/>
      <c r="C15" s="122"/>
      <c r="D15" s="122"/>
    </row>
    <row r="16" spans="1:11">
      <c r="A16" s="123" t="str">
        <f>Declaration!B28</f>
        <v>Tantalum (Ta) (*)</v>
      </c>
      <c r="B16" s="118" t="str">
        <f>Declaration!D28</f>
        <v>No</v>
      </c>
      <c r="C16" s="118" t="str">
        <f>IF(Declaration!D28="","Declare if Tantalum used within the scope of products declared within this survey response originated from the DRC or an adjoining Country on the Declaration tab cell D28","Completed")</f>
        <v>Completed</v>
      </c>
      <c r="D16" s="186" t="str">
        <f>IF(G14=4,"",IF(C16="Completed","","Click here to answer question 2 for Tantalum"))</f>
        <v/>
      </c>
      <c r="F16" s="79">
        <f t="shared" si="0"/>
        <v>1</v>
      </c>
    </row>
    <row r="17" spans="1:6">
      <c r="A17" s="123" t="str">
        <f>Declaration!B29</f>
        <v>Tin (Sn) (*)</v>
      </c>
      <c r="B17" s="118" t="str">
        <f>Declaration!D29</f>
        <v>No</v>
      </c>
      <c r="C17" s="118" t="str">
        <f>IF(Declaration!D29="","Declare if Tin used within the scope of products declared within this survey response originated from the DRC or an adjoining Country on the Declaration tab cell D29","Completed")</f>
        <v>Completed</v>
      </c>
      <c r="D17" s="186" t="str">
        <f>IF(G14=4,"",IF(C17="Completed","","Click here to answer question 2 for Tin"))</f>
        <v/>
      </c>
      <c r="F17" s="79">
        <f t="shared" si="0"/>
        <v>1</v>
      </c>
    </row>
    <row r="18" spans="1:6">
      <c r="A18" s="123" t="str">
        <f>Declaration!B30</f>
        <v>Gold (Au) (*)</v>
      </c>
      <c r="B18" s="118" t="str">
        <f>Declaration!D30</f>
        <v>Uncertain or Unknown</v>
      </c>
      <c r="C18" s="118" t="str">
        <f>IF(Declaration!D30="","Declare if Gold used within the scope of products declared within this survey response originated from the DRC or an adjoining Country on the Declaration tab cell D30","Completed")</f>
        <v>Completed</v>
      </c>
      <c r="D18" s="186" t="str">
        <f>IF(G14=4,"",IF(C18="Completed","","Click here to answer question 2 for Gold"))</f>
        <v/>
      </c>
      <c r="F18" s="79">
        <f t="shared" si="0"/>
        <v>1</v>
      </c>
    </row>
    <row r="19" spans="1:6">
      <c r="A19" s="123" t="str">
        <f>Declaration!B31</f>
        <v>Tungsten (W) (*)</v>
      </c>
      <c r="B19" s="118" t="str">
        <f>Declaration!D31</f>
        <v>No</v>
      </c>
      <c r="C19" s="118" t="str">
        <f>IF(Declaration!D31="","Declare if Tungsten used within the scope of products declared within this survey response originated from the DRC or an adjoining Country on the Declaration tab cell D31","Completed")</f>
        <v>Completed</v>
      </c>
      <c r="D19" s="186" t="str">
        <f>IF(G14=4,"",IF(C19="Completed","","Click here to answer question 2 for Tungsten"))</f>
        <v/>
      </c>
      <c r="F19" s="79">
        <f t="shared" si="0"/>
        <v>1</v>
      </c>
    </row>
    <row r="20" spans="1:6" ht="38.25">
      <c r="A20" s="121" t="str">
        <f>Declaration!B33</f>
        <v>3) Do the following metals (necessary to the functionality or production of your products) come from a recycler or scrap supplier? (*)</v>
      </c>
      <c r="B20" s="122"/>
      <c r="C20" s="122"/>
      <c r="D20" s="122"/>
    </row>
    <row r="21" spans="1:6">
      <c r="A21" s="123" t="str">
        <f>Declaration!B34</f>
        <v>Tantalum (Ta) (*)</v>
      </c>
      <c r="B21" s="118" t="str">
        <f>Declaration!D34</f>
        <v>No</v>
      </c>
      <c r="C21" s="118" t="str">
        <f>IF(Declaration!D34="","Declare if Tantalum used within the scope of products declared within this survey response originated from a recycled or scrap source on the Declaration tab cell D34","Completed")</f>
        <v>Completed</v>
      </c>
      <c r="D21" s="186" t="str">
        <f>IF(G14=4,"",IF(C21="Completed","","Click here to answer question 3 for Tantalum"))</f>
        <v/>
      </c>
      <c r="F21" s="79">
        <f t="shared" si="0"/>
        <v>1</v>
      </c>
    </row>
    <row r="22" spans="1:6">
      <c r="A22" s="123" t="str">
        <f>Declaration!B35</f>
        <v>Tin (Sn) (*)</v>
      </c>
      <c r="B22" s="118" t="str">
        <f>Declaration!D35</f>
        <v>No</v>
      </c>
      <c r="C22" s="118" t="str">
        <f>IF(Declaration!D35="","Declare if Tin used within the scope of products declared within this survey response originated from a recycled or scrap source on the Declaration tab cell D35","Completed")</f>
        <v>Completed</v>
      </c>
      <c r="D22" s="186" t="str">
        <f>IF(G14=4,"",IF(C22="Completed","","Click here to answer question 3 for Tin"))</f>
        <v/>
      </c>
      <c r="F22" s="79">
        <f t="shared" si="0"/>
        <v>1</v>
      </c>
    </row>
    <row r="23" spans="1:6">
      <c r="A23" s="123" t="str">
        <f>Declaration!B36</f>
        <v>Gold (Au) (*)</v>
      </c>
      <c r="B23" s="118" t="str">
        <f>Declaration!D36</f>
        <v>Uncertain or Unknown</v>
      </c>
      <c r="C23" s="118" t="str">
        <f>IF(Declaration!D36="","Declare if Gold used within the scope of products declared within this survey response originated from a recycled or scrap source on the Declaration tab cell D36","Completed")</f>
        <v>Completed</v>
      </c>
      <c r="D23" s="186" t="str">
        <f>IF(G14=4,"",IF(C23="Completed","","Click here to answer question 3 for Gold"))</f>
        <v/>
      </c>
      <c r="F23" s="79">
        <f t="shared" si="0"/>
        <v>1</v>
      </c>
    </row>
    <row r="24" spans="1:6">
      <c r="A24" s="123" t="str">
        <f>Declaration!B37</f>
        <v>Tungsten (W) (*)</v>
      </c>
      <c r="B24" s="118" t="str">
        <f>Declaration!D37</f>
        <v>No</v>
      </c>
      <c r="C24" s="118" t="str">
        <f>IF(Declaration!D37="","Declare if Tungsten used within the scope of products declared within this survey response originated from a recycled or scrap source on the Declaration tab cell D37","Completed")</f>
        <v>Completed</v>
      </c>
      <c r="D24" s="186" t="str">
        <f>IF(G14=4,"",IF(C24="Completed","","Click here to answer question 3 for Tungsten"))</f>
        <v/>
      </c>
      <c r="F24" s="79">
        <f t="shared" si="0"/>
        <v>1</v>
      </c>
    </row>
    <row r="25" spans="1:6" ht="25.5">
      <c r="A25" s="121" t="str">
        <f>Declaration!B39</f>
        <v>4) Have you received completed Conflict Minerals Reporting Templates from all of your suppliers? (*)</v>
      </c>
      <c r="B25" s="122"/>
      <c r="C25" s="122"/>
      <c r="D25" s="122"/>
    </row>
    <row r="26" spans="1:6">
      <c r="A26" s="123" t="str">
        <f>Declaration!B40</f>
        <v>Tantalum (Ta) (*)</v>
      </c>
      <c r="B26" s="118" t="str">
        <f>Declaration!D40</f>
        <v>Yes</v>
      </c>
      <c r="C26" s="118" t="str">
        <f>IF(Declaration!D40="","Provide % of completeness of supplier's smelter information on Declaration tab cell D40","Completed")</f>
        <v>Completed</v>
      </c>
      <c r="D26" s="119" t="str">
        <f>IF(G14=4,"",IF(C26="Completed","","Click here to answer question 4 for Tantalum"))</f>
        <v/>
      </c>
      <c r="F26" s="79">
        <f t="shared" si="0"/>
        <v>1</v>
      </c>
    </row>
    <row r="27" spans="1:6">
      <c r="A27" s="123" t="str">
        <f>Declaration!B41</f>
        <v>Tin (Sn) (*)</v>
      </c>
      <c r="B27" s="118" t="str">
        <f>Declaration!D41</f>
        <v>No but &gt; 75%</v>
      </c>
      <c r="C27" s="118" t="str">
        <f>IF(Declaration!D41="","Provide % of completeness of supplier's smelter information on Declaration tab cell D41","Completed")</f>
        <v>Completed</v>
      </c>
      <c r="D27" s="119" t="str">
        <f>IF(G14=4,"",IF(C27="Completed","","Click here to answer question 4 for Tin"))</f>
        <v/>
      </c>
      <c r="F27" s="79">
        <f t="shared" si="0"/>
        <v>1</v>
      </c>
    </row>
    <row r="28" spans="1:6">
      <c r="A28" s="123" t="str">
        <f>Declaration!B42</f>
        <v>Gold (Au) (*)</v>
      </c>
      <c r="B28" s="118" t="str">
        <f>Declaration!D42</f>
        <v>Yes</v>
      </c>
      <c r="C28" s="118" t="str">
        <f>IF(Declaration!D42="","Provide % of completeness of supplier's smelter information on Declaration tab cell D42","Completed")</f>
        <v>Completed</v>
      </c>
      <c r="D28" s="119" t="str">
        <f>IF(G14=4,"",IF(C28="Completed","","Click here to answer question 4 for Gold"))</f>
        <v/>
      </c>
      <c r="F28" s="79">
        <f t="shared" si="0"/>
        <v>1</v>
      </c>
    </row>
    <row r="29" spans="1:6">
      <c r="A29" s="123" t="str">
        <f>Declaration!B43</f>
        <v>Tungsten (W) (*)</v>
      </c>
      <c r="B29" s="118" t="str">
        <f>Declaration!D43</f>
        <v>Yes</v>
      </c>
      <c r="C29" s="118" t="str">
        <f>IF(Declaration!D43="","Provide % of completeness of supplier's smelter information on Declaration tab cell D43","Completed")</f>
        <v>Completed</v>
      </c>
      <c r="D29" s="119" t="str">
        <f>IF(G14=4,"",IF(C29="Completed","","Click here to answer question 4 for Tungsten"))</f>
        <v/>
      </c>
      <c r="F29" s="79">
        <f t="shared" si="0"/>
        <v>1</v>
      </c>
    </row>
    <row r="30" spans="1:6" ht="51">
      <c r="A30" s="121" t="str">
        <f>Declaration!B45</f>
        <v>5) For each of the following metals, have you identified all of the smelters your company and its suppliers use to supply the products included within the declaration scope indicated above? (*)</v>
      </c>
      <c r="B30" s="122"/>
      <c r="C30" s="122"/>
      <c r="D30" s="122"/>
    </row>
    <row r="31" spans="1:6">
      <c r="A31" s="123" t="str">
        <f>Declaration!B46</f>
        <v>Tantalum (Ta) (*)</v>
      </c>
      <c r="B31" s="118" t="str">
        <f>Declaration!D46</f>
        <v>Yes all smelters have been provided</v>
      </c>
      <c r="C31" s="118" t="str">
        <f>IF(Declaration!D46="","Declare if all smelter names have been provided in this survey response which fall under the scope of products declared within this survey response on the Declaration tab cell D46","Completed")</f>
        <v>Completed</v>
      </c>
      <c r="D31" s="186" t="str">
        <f>IF(G14=4,"",IF(C31="Completed","","Click here to answer question 5 for Tantalum"))</f>
        <v/>
      </c>
      <c r="F31" s="79">
        <f t="shared" si="0"/>
        <v>1</v>
      </c>
    </row>
    <row r="32" spans="1:6">
      <c r="A32" s="123" t="str">
        <f>Declaration!B47</f>
        <v>Tin (Sn) (*)</v>
      </c>
      <c r="B32" s="118" t="str">
        <f>Declaration!D47</f>
        <v>No</v>
      </c>
      <c r="C32" s="118" t="str">
        <f>IF(Declaration!D47="","Declare if all smelter names have been provided in this survey response which fall under the scope of products declared within this survey response on the Declaration tab cell D47","Completed")</f>
        <v>Completed</v>
      </c>
      <c r="D32" s="186" t="str">
        <f>IF(G14=4,"",IF(C32="Completed","","Click here to answer question 5 for Tin"))</f>
        <v/>
      </c>
      <c r="F32" s="79">
        <f t="shared" si="0"/>
        <v>1</v>
      </c>
    </row>
    <row r="33" spans="1:6">
      <c r="A33" s="123" t="str">
        <f>Declaration!B48</f>
        <v>Gold (Au) (*)</v>
      </c>
      <c r="B33" s="118" t="str">
        <f>Declaration!D48</f>
        <v>Yes all smelters have been provided</v>
      </c>
      <c r="C33" s="118" t="str">
        <f>IF(Declaration!D48="","Declare if all smelter names have been provided in this survey response which fall under the scope of products declared within this survey response on the Declaration tab cell D48","Completed")</f>
        <v>Completed</v>
      </c>
      <c r="D33" s="186" t="str">
        <f>IF(G14=4,"",IF(C33="Completed","","Click here to answer question 5 for Gold"))</f>
        <v/>
      </c>
      <c r="F33" s="79">
        <f t="shared" si="0"/>
        <v>1</v>
      </c>
    </row>
    <row r="34" spans="1:6">
      <c r="A34" s="123" t="str">
        <f>Declaration!B49</f>
        <v>Tungsten (W) (*)</v>
      </c>
      <c r="B34" s="118" t="str">
        <f>Declaration!D49</f>
        <v>Yes all smelters have been provided</v>
      </c>
      <c r="C34" s="118" t="str">
        <f>IF(Declaration!D49="","Declare if all smelter names have been provided in this survey response which fall under the scope of products declared within this survey response on the Declaration tab cell D49","Completed")</f>
        <v>Completed</v>
      </c>
      <c r="D34" s="186" t="str">
        <f>IF(G14=4,"",IF(C34="Completed","","Click here to answer question 5 for Tungsten"))</f>
        <v/>
      </c>
      <c r="F34" s="79">
        <f t="shared" si="0"/>
        <v>1</v>
      </c>
    </row>
    <row r="35" spans="1:6" ht="63.75">
      <c r="A35" s="121" t="str">
        <f>Declaration!B51</f>
        <v>6) Have all of the smelters used by your company and its suppliers been validated as compliant in accordance with the Conflict-Free Smelter (CFS) Program and listed on the Compliant Smelter List for the following metals? (*)</v>
      </c>
      <c r="B35" s="122"/>
      <c r="C35" s="122"/>
      <c r="D35" s="122"/>
    </row>
    <row r="36" spans="1:6">
      <c r="A36" s="123" t="str">
        <f>Declaration!B52</f>
        <v>Tantalum (Ta) (*)</v>
      </c>
      <c r="B36" s="118" t="str">
        <f>Declaration!D52</f>
        <v>Yes</v>
      </c>
      <c r="C36" s="118" t="str">
        <f>IF(Declaration!D52="","Must declare if all smelters your company and its suppliers use for Tantalum are on the Conflict-Free Smelter (CFS) list on Declaration tab cell D52","Completed")</f>
        <v>Completed</v>
      </c>
      <c r="D36" s="208" t="str">
        <f>IF(G14=4,"",IF(C36="Completed","","Click here to answer question 6 for Tantalum"))</f>
        <v/>
      </c>
      <c r="F36" s="79">
        <f t="shared" si="0"/>
        <v>1</v>
      </c>
    </row>
    <row r="37" spans="1:6">
      <c r="A37" s="123" t="str">
        <f>Declaration!B53</f>
        <v>Tin (Sn) (*)</v>
      </c>
      <c r="B37" s="118" t="str">
        <f>Declaration!D53</f>
        <v>Yes</v>
      </c>
      <c r="C37" s="118" t="str">
        <f>IF(Declaration!D53="","Must declare if all smelters your company and its suppliers use for Tin are on the Conflict-Free Smelter (CFS) list on Declaration tab cell D53","Completed")</f>
        <v>Completed</v>
      </c>
      <c r="D37" s="208" t="str">
        <f>IF(G14=4,"",IF(C37="Completed","","Click here to answer question 6 for Tin"))</f>
        <v/>
      </c>
      <c r="F37" s="79">
        <f t="shared" si="0"/>
        <v>1</v>
      </c>
    </row>
    <row r="38" spans="1:6">
      <c r="A38" s="123" t="str">
        <f>Declaration!B54</f>
        <v>Gold (Au) (*)</v>
      </c>
      <c r="B38" s="118" t="str">
        <f>Declaration!D54</f>
        <v>No</v>
      </c>
      <c r="C38" s="118" t="str">
        <f>IF(Declaration!D54="","Must declare if all smelters your company and its suppliers use for Gold are on the Conflict-Free Smelter (CFS) list on Declaration tab cell D54","Completed")</f>
        <v>Completed</v>
      </c>
      <c r="D38" s="208" t="str">
        <f>IF(G14=4,"",IF(C38="Completed","","Click here to answer question 6 for Gold"))</f>
        <v/>
      </c>
      <c r="F38" s="79">
        <f t="shared" si="0"/>
        <v>1</v>
      </c>
    </row>
    <row r="39" spans="1:6">
      <c r="A39" s="123" t="str">
        <f>Declaration!B55</f>
        <v>Tungsten (W) (*)</v>
      </c>
      <c r="B39" s="118" t="str">
        <f>Declaration!D55</f>
        <v>Yes</v>
      </c>
      <c r="C39" s="118" t="str">
        <f>IF(Declaration!D55="","Must declare if all smelters your company and its suppliers use for Tungsten are on the Conflict-Free Smelter (CFS) list on Declaration tab cell D55","Completed")</f>
        <v>Completed</v>
      </c>
      <c r="D39" s="208" t="str">
        <f>IF(G14=4,"",IF(C39="Completed","","Click here to answer question 6 for Tungsten"))</f>
        <v/>
      </c>
      <c r="F39" s="79">
        <f t="shared" si="0"/>
        <v>1</v>
      </c>
    </row>
    <row r="40" spans="1:6" ht="25.5">
      <c r="A40" s="118" t="str">
        <f>Declaration!B59</f>
        <v>A. Do you have a policy in place that includes DRC conflict-free sourcing? (*)</v>
      </c>
      <c r="B40" s="118" t="str">
        <f>Declaration!D59</f>
        <v>Yes</v>
      </c>
      <c r="C40" s="118" t="str">
        <f>IF(Declaration!D59="","Must answer if your company has a DRC Conflict-Free sourcing policy on the Declaration tab cell D50","Completed")</f>
        <v>Completed</v>
      </c>
      <c r="D40" s="119" t="str">
        <f>IF(G14=4,"",IF(C40="Completed","","Click here to document answer on DRC Conflict-Free sourcing policy"))</f>
        <v/>
      </c>
      <c r="F40" s="79">
        <f t="shared" si="0"/>
        <v>1</v>
      </c>
    </row>
    <row r="41" spans="1:6" ht="25.5">
      <c r="A41" s="118" t="str">
        <f>Declaration!B61</f>
        <v>B. Is this policy publicly available on your website? (*)</v>
      </c>
      <c r="B41" s="118" t="str">
        <f>Declaration!D61</f>
        <v>Yes</v>
      </c>
      <c r="C41" s="118" t="str">
        <f>IF(Declaration!D61="","Must answer if your company has made your DRC Conflict-Free sourcing policy is publically available on your website on the Declaration tab cell D52","Completed")</f>
        <v>Completed</v>
      </c>
      <c r="D41" s="119" t="str">
        <f>IF(G14=4,"",IF(C41="Completed","","Click here to document answer on public availability"))</f>
        <v/>
      </c>
      <c r="F41" s="79">
        <f t="shared" si="0"/>
        <v>1</v>
      </c>
    </row>
    <row r="42" spans="1:6" ht="25.5">
      <c r="A42" s="118" t="str">
        <f>Declaration!B63</f>
        <v>C. Do you require your direct suppliers to be DRC conflict-free? (*)</v>
      </c>
      <c r="B42" s="118" t="str">
        <f>Declaration!D63</f>
        <v>Yes</v>
      </c>
      <c r="C42" s="118" t="str">
        <f>IF(Declaration!D63="","Must answer if you require your direct suppliers to be DRC Conflict-Free on the Declaration tab cell D54","Completed")</f>
        <v>Completed</v>
      </c>
      <c r="D42" s="119" t="str">
        <f>IF(G14=4,"",IF(C42="Completed","","Click here to document supplier requirement"))</f>
        <v/>
      </c>
      <c r="F42" s="79">
        <f t="shared" si="0"/>
        <v>1</v>
      </c>
    </row>
    <row r="43" spans="1:6" ht="38.25">
      <c r="A43" s="118" t="str">
        <f>Declaration!B65</f>
        <v>D. Do you require your direct suppliers to source from smelters validated as compliant to a CFS protocol using the CFS Compliant Smelter List? (*)</v>
      </c>
      <c r="B43" s="118" t="str">
        <f>Declaration!D65</f>
        <v>Yes</v>
      </c>
      <c r="C43" s="118" t="str">
        <f>IF(Declaration!D65="","Must answer if you require your direct suppliers to source from smelters validated as DRC Conflict-Free using the Conflict-Free Smelter list on Declaration tab cell D56","Completed")</f>
        <v>Completed</v>
      </c>
      <c r="D43" s="119" t="str">
        <f>IF(G14=4,"",IF(C43="Completed","","Click here to document use of CFS list"))</f>
        <v/>
      </c>
      <c r="F43" s="79">
        <f t="shared" si="0"/>
        <v>1</v>
      </c>
    </row>
    <row r="44" spans="1:6" ht="25.5">
      <c r="A44" s="118" t="str">
        <f>Declaration!B67</f>
        <v>E. Have you implemented due diligence measures for conflict-free sourcing? (*)</v>
      </c>
      <c r="B44" s="118" t="str">
        <f>Declaration!D67</f>
        <v>Yes</v>
      </c>
      <c r="C44" s="118" t="str">
        <f>IF(Declaration!D67="","Must answer if you have implemented Conflict Minerals sourcing due diligence measures on Declaration tab cell D58","Completed")</f>
        <v>Completed</v>
      </c>
      <c r="D44" s="119" t="str">
        <f>IF(G14=4,"",IF(C44="Completed","","Click here to document Conflict Minerals due diligence"))</f>
        <v/>
      </c>
      <c r="F44" s="79">
        <f t="shared" si="0"/>
        <v>1</v>
      </c>
    </row>
    <row r="45" spans="1:6" ht="25.5">
      <c r="A45" s="118" t="str">
        <f>Declaration!B69</f>
        <v>F. Do you request your suppliers to fill out this Conflict Minerals Reporting Template? (*)</v>
      </c>
      <c r="B45" s="118" t="str">
        <f>Declaration!D69</f>
        <v>Yes</v>
      </c>
      <c r="C45" s="118" t="str">
        <f>IF(Declaration!D69="","Must answer if you request your suppliers to fill out this Conflict Minerals reporting template on Declaration tab cell D62","Completed")</f>
        <v>Completed</v>
      </c>
      <c r="D45" s="119" t="str">
        <f>IF(G14=4,"",IF(C45="Completed","","Click here to document supplier requirement for surveys"))</f>
        <v/>
      </c>
      <c r="F45" s="79">
        <f t="shared" si="0"/>
        <v>1</v>
      </c>
    </row>
    <row r="46" spans="1:6" ht="25.5">
      <c r="A46" s="118" t="str">
        <f>Declaration!B71</f>
        <v>G. Do you request smelter names from your suppliers? (*)</v>
      </c>
      <c r="B46" s="118" t="str">
        <f>Declaration!D71</f>
        <v>Yes</v>
      </c>
      <c r="C46" s="118" t="str">
        <f>IF(Declaration!D71="","Must answer if you request smelter names from your suppliers on the declaration tab cell D64","Completed")</f>
        <v>Completed</v>
      </c>
      <c r="D46" s="119" t="str">
        <f>IF(G14=4,"",IF(C46="Completed","","Click here to document smelter name collection"))</f>
        <v/>
      </c>
      <c r="F46" s="79">
        <f t="shared" si="0"/>
        <v>1</v>
      </c>
    </row>
    <row r="47" spans="1:6" ht="25.5">
      <c r="A47" s="118" t="str">
        <f>Declaration!B73</f>
        <v>H. Do you verify due diligence information received from your suppliers? (*)</v>
      </c>
      <c r="B47" s="118" t="str">
        <f>Declaration!D73</f>
        <v>Yes (documentation review only)</v>
      </c>
      <c r="C47" s="118" t="str">
        <f>IF(Declaration!D73="","Must answer if you verify Conflict Minerals responses from your suppliers on Declaration tab cell D66","Completed")</f>
        <v>Completed</v>
      </c>
      <c r="D47" s="119" t="str">
        <f>IF(G14=4,"",IF(C47="Completed","","Click here to document response documentation"))</f>
        <v/>
      </c>
      <c r="F47" s="79">
        <f t="shared" si="0"/>
        <v>1</v>
      </c>
    </row>
    <row r="48" spans="1:6" ht="25.5">
      <c r="A48" s="118" t="str">
        <f>Declaration!B75</f>
        <v>I. Does your verification process include corrective action management? (*)</v>
      </c>
      <c r="B48" s="118" t="str">
        <f>Declaration!D75</f>
        <v>Yes</v>
      </c>
      <c r="C48" s="118" t="str">
        <f>IF(Declaration!D75="","Must answer if your verification process includes corrective action management on Declaration tab cell D68","Completed")</f>
        <v>Completed</v>
      </c>
      <c r="D48" s="119" t="str">
        <f>IF(G14=4,"",IF(C48="Completed","","Click here to document corrective action"))</f>
        <v/>
      </c>
      <c r="F48" s="79">
        <f t="shared" si="0"/>
        <v>1</v>
      </c>
    </row>
    <row r="49" spans="1:10" ht="25.5">
      <c r="A49" s="118" t="str">
        <f>Declaration!B77</f>
        <v>J. Are you subject to the SEC Conflict Minerals disclosure requirement rule? (*)</v>
      </c>
      <c r="B49" s="118" t="str">
        <f>Declaration!D77</f>
        <v>Yes</v>
      </c>
      <c r="C49" s="118" t="str">
        <f>IF(Declaration!D77="","Must answer if you are subject to the SEC Disclosure requirement on Declaration tab cell D70","Completed")</f>
        <v>Completed</v>
      </c>
      <c r="D49" s="119" t="str">
        <f>IF(G14=4,"",IF(C49="Completed","","Click here to document SEC disclosure requirement"))</f>
        <v/>
      </c>
      <c r="F49" s="79">
        <f t="shared" si="0"/>
        <v>1</v>
      </c>
    </row>
    <row r="50" spans="1:10" ht="38.25">
      <c r="A50" s="207">
        <f>'Product List'!B6</f>
        <v>0</v>
      </c>
      <c r="B50" s="118" t="str">
        <f>IF('Product List'!B6="","No products or item numbers listed","One or more product / item numbers have been provided")</f>
        <v>No products or item numbers listed</v>
      </c>
      <c r="C50" s="118" t="str">
        <f>IF(G50=1,"Completed","Must provide 1 or more Products or Item Numbers this declaration applies to.  From declaration tab select hyperlink in cellG16 to enter Product List tab")</f>
        <v>Must provide 1 or more Products or Item Numbers this declaration applies to.  From declaration tab select hyperlink in cellG16 to enter Product List tab</v>
      </c>
      <c r="D50" s="119" t="str">
        <f>IF(H6=0,"",IF(C50="Completed","","Click here to enter detail on Product List tab"))</f>
        <v/>
      </c>
      <c r="F50" s="79">
        <f t="shared" si="0"/>
        <v>0</v>
      </c>
      <c r="G50" s="115">
        <f>IF(B50="One or more product / item numbers have been provided",1,0)</f>
        <v>0</v>
      </c>
    </row>
    <row r="51" spans="1:10">
      <c r="A51" s="117" t="str">
        <f>'Smelter List'!D5</f>
        <v>Allgemeine Gold</v>
      </c>
      <c r="B51" s="120" t="str">
        <f>IF(A51="","No smelter names provided on Smelter List tab","One or more smelter names have been provided")</f>
        <v>One or more smelter names have been provided</v>
      </c>
      <c r="C51" s="118" t="str">
        <f>IF(A51="","Must provide list of smelters contributing material to supply chain on Smelter List tab","One or more smelter names have been provided")</f>
        <v>One or more smelter names have been provided</v>
      </c>
      <c r="D51" s="119" t="str">
        <f>IF(G14=4,"",IF(F51=1,"","Click here to provide smelter information"))</f>
        <v/>
      </c>
      <c r="F51" s="79">
        <f>IF(C51="One or more smelter names have been provided",1,0)</f>
        <v>1</v>
      </c>
    </row>
    <row r="52" spans="1:10">
      <c r="F52" s="117">
        <f>SUM(F4:F51)</f>
        <v>40</v>
      </c>
      <c r="G52" s="125" t="s">
        <v>2106</v>
      </c>
    </row>
    <row r="53" spans="1:10">
      <c r="F53" s="79">
        <f>IF(H53=1,2,1)</f>
        <v>1</v>
      </c>
      <c r="G53" s="115" t="s">
        <v>667</v>
      </c>
      <c r="H53" s="126">
        <f>Declaration!N12</f>
        <v>0</v>
      </c>
    </row>
    <row r="54" spans="1:10">
      <c r="F54" s="126" t="e">
        <f>#VALUE!</f>
        <v>#VALUE!</v>
      </c>
      <c r="G54" s="115" t="s">
        <v>668</v>
      </c>
      <c r="H54" s="79">
        <f>Declaration!N27</f>
        <v>4</v>
      </c>
      <c r="I54" s="79">
        <f>Declaration!O27</f>
        <v>0</v>
      </c>
      <c r="J54" s="79">
        <f>SUM(H54:I54)</f>
        <v>4</v>
      </c>
    </row>
    <row r="55" spans="1:10">
      <c r="F55" s="126">
        <f>IF(H6=2,1,0)</f>
        <v>0</v>
      </c>
      <c r="G55" s="115" t="s">
        <v>811</v>
      </c>
    </row>
    <row r="56" spans="1:10">
      <c r="F56" s="177" t="e">
        <f>SUM(F53:F55)</f>
        <v>#VALUE!</v>
      </c>
      <c r="G56" s="125" t="s">
        <v>2107</v>
      </c>
    </row>
    <row r="57" spans="1:10">
      <c r="F57" s="178"/>
    </row>
    <row r="59" spans="1:10">
      <c r="F59" s="321" t="s">
        <v>655</v>
      </c>
      <c r="G59" s="321"/>
      <c r="H59" s="321"/>
    </row>
    <row r="60" spans="1:10">
      <c r="F60" s="176" t="s">
        <v>656</v>
      </c>
      <c r="G60" s="176" t="s">
        <v>658</v>
      </c>
      <c r="H60" s="176" t="s">
        <v>659</v>
      </c>
    </row>
    <row r="61" spans="1:10">
      <c r="F61" s="322" t="s">
        <v>657</v>
      </c>
      <c r="G61" s="115" t="s">
        <v>660</v>
      </c>
      <c r="H61" s="79">
        <v>9</v>
      </c>
    </row>
    <row r="62" spans="1:10">
      <c r="F62" s="322"/>
      <c r="G62" s="115" t="s">
        <v>661</v>
      </c>
      <c r="H62" s="79">
        <v>25</v>
      </c>
    </row>
    <row r="63" spans="1:10">
      <c r="F63" s="322"/>
      <c r="G63" s="115" t="s">
        <v>662</v>
      </c>
      <c r="H63" s="79">
        <v>30</v>
      </c>
    </row>
    <row r="64" spans="1:10">
      <c r="F64" s="322"/>
      <c r="G64" s="115" t="s">
        <v>663</v>
      </c>
      <c r="H64" s="79">
        <v>35</v>
      </c>
    </row>
    <row r="65" spans="6:8">
      <c r="F65" s="322"/>
      <c r="G65" s="115" t="s">
        <v>664</v>
      </c>
      <c r="H65" s="79">
        <v>40</v>
      </c>
    </row>
    <row r="66" spans="6:8">
      <c r="F66" s="319" t="s">
        <v>809</v>
      </c>
      <c r="G66" s="115" t="s">
        <v>660</v>
      </c>
      <c r="H66" s="79">
        <v>10</v>
      </c>
    </row>
    <row r="67" spans="6:8">
      <c r="F67" s="319"/>
      <c r="G67" s="115" t="s">
        <v>661</v>
      </c>
      <c r="H67" s="79">
        <v>26</v>
      </c>
    </row>
    <row r="68" spans="6:8" ht="12.6" customHeight="1">
      <c r="F68" s="319"/>
      <c r="G68" s="115" t="s">
        <v>662</v>
      </c>
      <c r="H68" s="79">
        <v>31</v>
      </c>
    </row>
    <row r="69" spans="6:8">
      <c r="F69" s="319"/>
      <c r="G69" s="115" t="s">
        <v>663</v>
      </c>
      <c r="H69" s="79">
        <v>36</v>
      </c>
    </row>
    <row r="70" spans="6:8">
      <c r="F70" s="319"/>
      <c r="G70" s="115" t="s">
        <v>664</v>
      </c>
      <c r="H70" s="79">
        <v>41</v>
      </c>
    </row>
    <row r="71" spans="6:8">
      <c r="F71" s="319" t="s">
        <v>810</v>
      </c>
      <c r="G71" s="115" t="s">
        <v>660</v>
      </c>
      <c r="H71" s="79">
        <v>11</v>
      </c>
    </row>
    <row r="72" spans="6:8">
      <c r="F72" s="319"/>
      <c r="G72" s="115" t="s">
        <v>661</v>
      </c>
      <c r="H72" s="79">
        <v>27</v>
      </c>
    </row>
    <row r="73" spans="6:8" ht="12.6" customHeight="1">
      <c r="F73" s="319"/>
      <c r="G73" s="115" t="s">
        <v>662</v>
      </c>
      <c r="H73" s="79">
        <v>32</v>
      </c>
    </row>
    <row r="74" spans="6:8">
      <c r="F74" s="319"/>
      <c r="G74" s="115" t="s">
        <v>663</v>
      </c>
      <c r="H74" s="79">
        <v>37</v>
      </c>
    </row>
    <row r="75" spans="6:8">
      <c r="F75" s="319"/>
      <c r="G75" s="115" t="s">
        <v>664</v>
      </c>
      <c r="H75" s="79">
        <v>42</v>
      </c>
    </row>
    <row r="98" spans="1:8">
      <c r="F98" s="79" t="s">
        <v>757</v>
      </c>
      <c r="G98" s="79" t="s">
        <v>758</v>
      </c>
      <c r="H98" s="79" t="s">
        <v>454</v>
      </c>
    </row>
    <row r="99" spans="1:8">
      <c r="F99" s="164" t="s">
        <v>1253</v>
      </c>
      <c r="G99" s="164" t="s">
        <v>588</v>
      </c>
      <c r="H99" s="164" t="s">
        <v>589</v>
      </c>
    </row>
    <row r="100" spans="1:8">
      <c r="F100" s="164" t="s">
        <v>594</v>
      </c>
      <c r="G100" s="164" t="s">
        <v>595</v>
      </c>
      <c r="H100" s="164" t="s">
        <v>596</v>
      </c>
    </row>
    <row r="101" spans="1:8">
      <c r="F101" s="164" t="s">
        <v>601</v>
      </c>
      <c r="G101" s="164" t="s">
        <v>602</v>
      </c>
      <c r="H101" s="164" t="s">
        <v>603</v>
      </c>
    </row>
    <row r="102" spans="1:8">
      <c r="F102" s="164" t="s">
        <v>607</v>
      </c>
      <c r="G102" s="164" t="s">
        <v>608</v>
      </c>
      <c r="H102" s="164" t="s">
        <v>609</v>
      </c>
    </row>
    <row r="103" spans="1:8" hidden="1">
      <c r="A103" s="79" t="s">
        <v>2207</v>
      </c>
      <c r="B103" s="124" t="s">
        <v>2208</v>
      </c>
      <c r="C103" s="79" t="s">
        <v>2209</v>
      </c>
      <c r="D103" s="124" t="s">
        <v>2210</v>
      </c>
      <c r="E103" s="79" t="s">
        <v>756</v>
      </c>
      <c r="F103" s="164" t="s">
        <v>614</v>
      </c>
      <c r="G103" s="164" t="s">
        <v>615</v>
      </c>
      <c r="H103" s="164" t="s">
        <v>614</v>
      </c>
    </row>
    <row r="104" spans="1:8" hidden="1">
      <c r="A104" s="164" t="s">
        <v>2103</v>
      </c>
      <c r="B104" s="164" t="s">
        <v>1249</v>
      </c>
      <c r="C104" s="164" t="s">
        <v>1250</v>
      </c>
      <c r="D104" s="164" t="s">
        <v>1251</v>
      </c>
      <c r="E104" s="164" t="s">
        <v>1252</v>
      </c>
    </row>
    <row r="105" spans="1:8" hidden="1">
      <c r="A105" s="164" t="s">
        <v>2108</v>
      </c>
      <c r="B105" s="164" t="s">
        <v>590</v>
      </c>
      <c r="C105" s="164" t="s">
        <v>591</v>
      </c>
      <c r="D105" s="164" t="s">
        <v>592</v>
      </c>
      <c r="E105" s="164" t="s">
        <v>593</v>
      </c>
    </row>
    <row r="106" spans="1:8" hidden="1">
      <c r="A106" s="164" t="s">
        <v>1829</v>
      </c>
      <c r="B106" s="164" t="s">
        <v>597</v>
      </c>
      <c r="C106" s="164" t="s">
        <v>598</v>
      </c>
      <c r="D106" s="164" t="s">
        <v>599</v>
      </c>
      <c r="E106" s="164" t="s">
        <v>600</v>
      </c>
    </row>
    <row r="107" spans="1:8" hidden="1">
      <c r="A107" s="164" t="s">
        <v>1830</v>
      </c>
      <c r="B107" s="164" t="s">
        <v>604</v>
      </c>
      <c r="C107" s="164" t="s">
        <v>2216</v>
      </c>
      <c r="D107" s="164" t="s">
        <v>605</v>
      </c>
      <c r="E107" s="164" t="s">
        <v>606</v>
      </c>
    </row>
    <row r="108" spans="1:8" hidden="1">
      <c r="A108" s="164" t="s">
        <v>2101</v>
      </c>
      <c r="B108" s="164" t="s">
        <v>610</v>
      </c>
      <c r="C108" s="164" t="s">
        <v>611</v>
      </c>
      <c r="D108" s="164" t="s">
        <v>612</v>
      </c>
      <c r="E108" s="164" t="s">
        <v>613</v>
      </c>
    </row>
  </sheetData>
  <sheetProtection password="C453" sheet="1" objects="1" scenarios="1"/>
  <mergeCells count="5">
    <mergeCell ref="F71:F75"/>
    <mergeCell ref="A1:C1"/>
    <mergeCell ref="F59:H59"/>
    <mergeCell ref="F66:F70"/>
    <mergeCell ref="F61:F65"/>
  </mergeCells>
  <phoneticPr fontId="0" type="noConversion"/>
  <conditionalFormatting sqref="A4 C4">
    <cfRule type="expression" dxfId="238" priority="453">
      <formula>IF($B$4&gt;0,TRUE)</formula>
    </cfRule>
    <cfRule type="expression" dxfId="237" priority="455">
      <formula>IF($B$4=0,TRUE)</formula>
    </cfRule>
  </conditionalFormatting>
  <conditionalFormatting sqref="A5">
    <cfRule type="expression" dxfId="236" priority="448">
      <formula>IF(B5&gt;0,TRUE)</formula>
    </cfRule>
    <cfRule type="expression" dxfId="235" priority="449">
      <formula>IF(B5=0,TRUE)</formula>
    </cfRule>
  </conditionalFormatting>
  <conditionalFormatting sqref="A6">
    <cfRule type="cellIs" dxfId="234" priority="398" operator="equal">
      <formula>"Description of Scope:"</formula>
    </cfRule>
    <cfRule type="expression" dxfId="233" priority="399">
      <formula>IF(B6&gt;0,TRUE)</formula>
    </cfRule>
    <cfRule type="expression" dxfId="232" priority="446">
      <formula>IF(A6="Description of Scope: (*)",TRUE)</formula>
    </cfRule>
  </conditionalFormatting>
  <conditionalFormatting sqref="A7">
    <cfRule type="expression" dxfId="231" priority="444">
      <formula>IF(B7&gt;0,TRUE)</formula>
    </cfRule>
    <cfRule type="expression" dxfId="230" priority="445">
      <formula>IF(B7=0,TRUE)</formula>
    </cfRule>
  </conditionalFormatting>
  <conditionalFormatting sqref="A8">
    <cfRule type="expression" dxfId="229" priority="442">
      <formula>IF(B8&gt;0,TRUE)</formula>
    </cfRule>
    <cfRule type="expression" dxfId="228" priority="443">
      <formula>IF(B8=0,TRUE)</formula>
    </cfRule>
  </conditionalFormatting>
  <conditionalFormatting sqref="A9">
    <cfRule type="expression" dxfId="227" priority="440">
      <formula>IF(B9&gt;0,TRUE)</formula>
    </cfRule>
    <cfRule type="expression" dxfId="226" priority="441">
      <formula>IF(B9=0,TRUE)</formula>
    </cfRule>
  </conditionalFormatting>
  <conditionalFormatting sqref="A11">
    <cfRule type="expression" dxfId="225" priority="438">
      <formula>IF(B11&gt;0,TRUE)</formula>
    </cfRule>
    <cfRule type="expression" dxfId="224" priority="439">
      <formula>IF(B11=0,TRUE)</formula>
    </cfRule>
  </conditionalFormatting>
  <conditionalFormatting sqref="A12">
    <cfRule type="expression" dxfId="223" priority="436">
      <formula>IF(B12&gt;0,TRUE)</formula>
    </cfRule>
    <cfRule type="expression" dxfId="222" priority="437">
      <formula>IF(B12=0,TRUE)</formula>
    </cfRule>
  </conditionalFormatting>
  <conditionalFormatting sqref="A13">
    <cfRule type="expression" dxfId="221" priority="434">
      <formula>IF(B13&gt;0,TRUE)</formula>
    </cfRule>
    <cfRule type="expression" dxfId="220" priority="435">
      <formula>IF(B13=0,TRUE)</formula>
    </cfRule>
  </conditionalFormatting>
  <conditionalFormatting sqref="A14">
    <cfRule type="expression" dxfId="219" priority="432">
      <formula>IF(B14&gt;0,TRUE)</formula>
    </cfRule>
    <cfRule type="expression" dxfId="218" priority="433">
      <formula>IF(B14=0,TRUE)</formula>
    </cfRule>
  </conditionalFormatting>
  <conditionalFormatting sqref="A37">
    <cfRule type="expression" dxfId="217" priority="18">
      <formula>IF(B12="No",TRUE)</formula>
    </cfRule>
    <cfRule type="expression" dxfId="216" priority="404">
      <formula>IF(B37&gt;0,TRUE)</formula>
    </cfRule>
    <cfRule type="expression" dxfId="215" priority="405">
      <formula>IF(B37=0,TRUE)</formula>
    </cfRule>
  </conditionalFormatting>
  <conditionalFormatting sqref="A38">
    <cfRule type="expression" dxfId="214" priority="11">
      <formula>IF(B13="No",TRUE)</formula>
    </cfRule>
    <cfRule type="expression" dxfId="213" priority="402">
      <formula>IF(B38&gt;0,TRUE)</formula>
    </cfRule>
    <cfRule type="expression" dxfId="212" priority="403">
      <formula>IF(B38=0,TRUE)</formula>
    </cfRule>
  </conditionalFormatting>
  <conditionalFormatting sqref="A39">
    <cfRule type="expression" dxfId="211" priority="4">
      <formula>IF(B14="No",TRUE)</formula>
    </cfRule>
    <cfRule type="expression" dxfId="210" priority="400">
      <formula>IF(B39&gt;0,TRUE)</formula>
    </cfRule>
    <cfRule type="expression" dxfId="209" priority="401">
      <formula>IF(B39=0,TRUE)</formula>
    </cfRule>
  </conditionalFormatting>
  <conditionalFormatting sqref="A40">
    <cfRule type="expression" dxfId="208" priority="396">
      <formula>IF(B40&gt;0,TRUE)</formula>
    </cfRule>
    <cfRule type="expression" dxfId="207" priority="397">
      <formula>IF(B40=0,TRUE)</formula>
    </cfRule>
  </conditionalFormatting>
  <conditionalFormatting sqref="A41">
    <cfRule type="expression" dxfId="206" priority="394">
      <formula>IF(B41&gt;0,TRUE)</formula>
    </cfRule>
    <cfRule type="expression" dxfId="205" priority="395">
      <formula>IF(B41=0,TRUE)</formula>
    </cfRule>
  </conditionalFormatting>
  <conditionalFormatting sqref="A42">
    <cfRule type="expression" dxfId="204" priority="392">
      <formula>IF(B42&gt;0,TRUE)</formula>
    </cfRule>
    <cfRule type="expression" dxfId="203" priority="393">
      <formula>IF(B42=0,TRUE)</formula>
    </cfRule>
  </conditionalFormatting>
  <conditionalFormatting sqref="A43">
    <cfRule type="expression" dxfId="202" priority="390">
      <formula>IF(B43&gt;0,TRUE)</formula>
    </cfRule>
    <cfRule type="expression" dxfId="201" priority="391">
      <formula>IF(B43=0,TRUE)</formula>
    </cfRule>
  </conditionalFormatting>
  <conditionalFormatting sqref="A44">
    <cfRule type="expression" dxfId="200" priority="388">
      <formula>IF(B44&gt;0,TRUE)</formula>
    </cfRule>
    <cfRule type="expression" dxfId="199" priority="389">
      <formula>IF(B44=0,TRUE)</formula>
    </cfRule>
  </conditionalFormatting>
  <conditionalFormatting sqref="A45">
    <cfRule type="expression" dxfId="198" priority="384">
      <formula>IF(B45&gt;0,TRUE)</formula>
    </cfRule>
    <cfRule type="expression" dxfId="197" priority="385">
      <formula>IF(B45=0,TRUE)</formula>
    </cfRule>
  </conditionalFormatting>
  <conditionalFormatting sqref="A46">
    <cfRule type="expression" dxfId="196" priority="382">
      <formula>IF(B46&gt;0,TRUE)</formula>
    </cfRule>
    <cfRule type="expression" dxfId="195" priority="383">
      <formula>IF(B46=0,TRUE)</formula>
    </cfRule>
  </conditionalFormatting>
  <conditionalFormatting sqref="A47">
    <cfRule type="expression" dxfId="194" priority="380">
      <formula>IF(B47&gt;0,TRUE)</formula>
    </cfRule>
    <cfRule type="expression" dxfId="193" priority="381">
      <formula>IF(B47=0,TRUE)</formula>
    </cfRule>
  </conditionalFormatting>
  <conditionalFormatting sqref="A48">
    <cfRule type="expression" dxfId="192" priority="378">
      <formula>IF(B48&gt;0,TRUE)</formula>
    </cfRule>
    <cfRule type="expression" dxfId="191" priority="379">
      <formula>IF(B48=0,TRUE)</formula>
    </cfRule>
  </conditionalFormatting>
  <conditionalFormatting sqref="A49">
    <cfRule type="expression" dxfId="190" priority="376">
      <formula>IF(B49&gt;0,TRUE)</formula>
    </cfRule>
    <cfRule type="expression" dxfId="189" priority="377">
      <formula>IF(B49=0,TRUE)</formula>
    </cfRule>
  </conditionalFormatting>
  <conditionalFormatting sqref="A51">
    <cfRule type="expression" dxfId="188" priority="364">
      <formula>IF(G14=4,TRUE)</formula>
    </cfRule>
    <cfRule type="expression" dxfId="187" priority="366">
      <formula>IF(F51&lt;1,TRUE)</formula>
    </cfRule>
  </conditionalFormatting>
  <conditionalFormatting sqref="B51">
    <cfRule type="expression" dxfId="186" priority="285">
      <formula>IF(G14=4,TRUE)</formula>
    </cfRule>
  </conditionalFormatting>
  <conditionalFormatting sqref="C5">
    <cfRule type="expression" dxfId="185" priority="283">
      <formula>IF(B5&gt;0,TRUE)</formula>
    </cfRule>
    <cfRule type="expression" dxfId="184" priority="284">
      <formula>IF(B5=0,TRUE)</formula>
    </cfRule>
  </conditionalFormatting>
  <conditionalFormatting sqref="C6">
    <cfRule type="expression" dxfId="183" priority="133">
      <formula>IF(H6=2,TRUE)</formula>
    </cfRule>
    <cfRule type="expression" dxfId="182" priority="278">
      <formula>IF($A$6="Description of Scope:",TRUE)</formula>
    </cfRule>
    <cfRule type="cellIs" dxfId="181" priority="279" operator="equal">
      <formula>"Completed"</formula>
    </cfRule>
    <cfRule type="expression" dxfId="180" priority="280">
      <formula>IF(H6=1,TRUE)</formula>
    </cfRule>
  </conditionalFormatting>
  <conditionalFormatting sqref="C7">
    <cfRule type="expression" dxfId="179" priority="274">
      <formula>IF(B7&gt;0,TRUE)</formula>
    </cfRule>
    <cfRule type="expression" dxfId="178" priority="275">
      <formula>IF(B7=0,TRUE)</formula>
    </cfRule>
  </conditionalFormatting>
  <conditionalFormatting sqref="C8">
    <cfRule type="expression" dxfId="177" priority="272">
      <formula>IF(B8&gt;0,TRUE)</formula>
    </cfRule>
    <cfRule type="expression" dxfId="176" priority="273">
      <formula>IF(B8=0,TRUE)</formula>
    </cfRule>
  </conditionalFormatting>
  <conditionalFormatting sqref="C9">
    <cfRule type="expression" dxfId="175" priority="270">
      <formula>IF(B9&gt;0,TRUE)</formula>
    </cfRule>
    <cfRule type="expression" dxfId="174" priority="271">
      <formula>IF(B9=0,TRUE)</formula>
    </cfRule>
  </conditionalFormatting>
  <conditionalFormatting sqref="C11">
    <cfRule type="expression" dxfId="173" priority="268">
      <formula>IF(B11&gt;0,TRUE)</formula>
    </cfRule>
    <cfRule type="expression" dxfId="172" priority="269">
      <formula>IF(B11=0,TRUE)</formula>
    </cfRule>
  </conditionalFormatting>
  <conditionalFormatting sqref="C12">
    <cfRule type="expression" dxfId="171" priority="266">
      <formula>IF(B12&gt;0,TRUE)</formula>
    </cfRule>
    <cfRule type="expression" dxfId="170" priority="267">
      <formula>IF(B12=0,TRUE)</formula>
    </cfRule>
  </conditionalFormatting>
  <conditionalFormatting sqref="C13">
    <cfRule type="expression" dxfId="169" priority="264">
      <formula>IF(B13&gt;0,TRUE)</formula>
    </cfRule>
    <cfRule type="expression" dxfId="168" priority="265">
      <formula>IF(B13=0,TRUE)</formula>
    </cfRule>
  </conditionalFormatting>
  <conditionalFormatting sqref="C14">
    <cfRule type="expression" dxfId="167" priority="262">
      <formula>IF(B14&gt;0,TRUE)</formula>
    </cfRule>
    <cfRule type="expression" dxfId="166" priority="263">
      <formula>IF(B14=0,TRUE)</formula>
    </cfRule>
  </conditionalFormatting>
  <conditionalFormatting sqref="C27">
    <cfRule type="expression" dxfId="165" priority="166">
      <formula>IF(B12="No",TRUE)</formula>
    </cfRule>
    <cfRule type="expression" dxfId="164" priority="242">
      <formula>IF(B27&gt;0,TRUE)</formula>
    </cfRule>
    <cfRule type="expression" dxfId="163" priority="243">
      <formula>IF(B27=0,TRUE)</formula>
    </cfRule>
  </conditionalFormatting>
  <conditionalFormatting sqref="C28">
    <cfRule type="expression" dxfId="162" priority="165">
      <formula>IF(B13="No",TRUE)</formula>
    </cfRule>
    <cfRule type="expression" dxfId="161" priority="240">
      <formula>IF(B28&gt;0,TRUE)</formula>
    </cfRule>
    <cfRule type="expression" dxfId="160" priority="241">
      <formula>IF(B28=0,TRUE)</formula>
    </cfRule>
  </conditionalFormatting>
  <conditionalFormatting sqref="C29">
    <cfRule type="expression" dxfId="159" priority="164">
      <formula>IF(B14="No",TRUE)</formula>
    </cfRule>
    <cfRule type="expression" dxfId="158" priority="238">
      <formula>IF(B29&gt;0,TRUE)</formula>
    </cfRule>
    <cfRule type="expression" dxfId="157" priority="239">
      <formula>IF(B29=0,TRUE)</formula>
    </cfRule>
  </conditionalFormatting>
  <conditionalFormatting sqref="C36">
    <cfRule type="expression" dxfId="156" priority="28">
      <formula>IF(B11="No",TRUE)</formula>
    </cfRule>
    <cfRule type="expression" dxfId="155" priority="236">
      <formula>IF(B36&gt;0,TRUE)</formula>
    </cfRule>
    <cfRule type="expression" dxfId="154" priority="237">
      <formula>IF(B36=0,TRUE)</formula>
    </cfRule>
  </conditionalFormatting>
  <conditionalFormatting sqref="C37">
    <cfRule type="expression" dxfId="153" priority="147">
      <formula>IF(B12="No",TRUE)</formula>
    </cfRule>
    <cfRule type="expression" dxfId="152" priority="234">
      <formula>IF(B37&gt;0,TRUE)</formula>
    </cfRule>
    <cfRule type="expression" dxfId="151" priority="235">
      <formula>IF(B37=0,TRUE)</formula>
    </cfRule>
  </conditionalFormatting>
  <conditionalFormatting sqref="C38">
    <cfRule type="expression" dxfId="150" priority="146">
      <formula>IF(B13="No",TRUE)</formula>
    </cfRule>
    <cfRule type="expression" dxfId="149" priority="232">
      <formula>IF(B38&gt;0,TRUE)</formula>
    </cfRule>
    <cfRule type="expression" dxfId="148" priority="233">
      <formula>IF(B38=0,TRUE)</formula>
    </cfRule>
  </conditionalFormatting>
  <conditionalFormatting sqref="C39">
    <cfRule type="expression" dxfId="147" priority="145">
      <formula>IF(B14="No",TRUE)</formula>
    </cfRule>
    <cfRule type="expression" dxfId="146" priority="230">
      <formula>IF(B39&gt;0,TRUE)</formula>
    </cfRule>
    <cfRule type="expression" dxfId="145" priority="231">
      <formula>IF(B39=0,TRUE)</formula>
    </cfRule>
  </conditionalFormatting>
  <conditionalFormatting sqref="C40">
    <cfRule type="expression" dxfId="144" priority="144">
      <formula>IF(H14=4,TRUE)</formula>
    </cfRule>
    <cfRule type="expression" dxfId="143" priority="228">
      <formula>IF(B40&gt;0,TRUE)</formula>
    </cfRule>
    <cfRule type="expression" dxfId="142" priority="229">
      <formula>IF(B40=0,TRUE)</formula>
    </cfRule>
  </conditionalFormatting>
  <conditionalFormatting sqref="C41">
    <cfRule type="expression" dxfId="141" priority="143">
      <formula>IF(H14=4,TRUE)</formula>
    </cfRule>
    <cfRule type="expression" dxfId="140" priority="226">
      <formula>IF(B41&gt;0,TRUE)</formula>
    </cfRule>
    <cfRule type="expression" dxfId="139" priority="227">
      <formula>IF(B41=0,TRUE)</formula>
    </cfRule>
  </conditionalFormatting>
  <conditionalFormatting sqref="C42">
    <cfRule type="expression" dxfId="138" priority="142">
      <formula>IF(H14=4,TRUE)</formula>
    </cfRule>
    <cfRule type="expression" dxfId="137" priority="224">
      <formula>IF(B42&gt;0,TRUE)</formula>
    </cfRule>
    <cfRule type="expression" dxfId="136" priority="225">
      <formula>IF(B42=0,TRUE)</formula>
    </cfRule>
  </conditionalFormatting>
  <conditionalFormatting sqref="C43">
    <cfRule type="expression" dxfId="135" priority="141">
      <formula>IF(H14=4,TRUE)</formula>
    </cfRule>
    <cfRule type="expression" dxfId="134" priority="222">
      <formula>IF(B43&gt;0,TRUE)</formula>
    </cfRule>
    <cfRule type="expression" dxfId="133" priority="223">
      <formula>IF(B43=0,TRUE)</formula>
    </cfRule>
  </conditionalFormatting>
  <conditionalFormatting sqref="C44">
    <cfRule type="expression" dxfId="132" priority="140">
      <formula>IF(H14=4,TRUE)</formula>
    </cfRule>
    <cfRule type="expression" dxfId="131" priority="220">
      <formula>IF(B44&gt;0,TRUE)</formula>
    </cfRule>
    <cfRule type="expression" dxfId="130" priority="221">
      <formula>IF(B44=0,TRUE)</formula>
    </cfRule>
  </conditionalFormatting>
  <conditionalFormatting sqref="C45">
    <cfRule type="expression" dxfId="129" priority="139">
      <formula>IF(H14=4,TRUE)</formula>
    </cfRule>
    <cfRule type="expression" dxfId="128" priority="218">
      <formula>IF(B45&gt;0,TRUE)</formula>
    </cfRule>
    <cfRule type="expression" dxfId="127" priority="219">
      <formula>IF(B45=0,TRUE)</formula>
    </cfRule>
  </conditionalFormatting>
  <conditionalFormatting sqref="C46">
    <cfRule type="expression" dxfId="126" priority="138">
      <formula>IF(H14=4,TRUE)</formula>
    </cfRule>
    <cfRule type="expression" dxfId="125" priority="216">
      <formula>IF(B46&gt;0,TRUE)</formula>
    </cfRule>
    <cfRule type="expression" dxfId="124" priority="217">
      <formula>IF(B46=0,TRUE)</formula>
    </cfRule>
  </conditionalFormatting>
  <conditionalFormatting sqref="C47">
    <cfRule type="expression" dxfId="123" priority="137">
      <formula>IF(H14=4,TRUE)</formula>
    </cfRule>
    <cfRule type="expression" dxfId="122" priority="214">
      <formula>IF(B47&gt;0,TRUE)</formula>
    </cfRule>
    <cfRule type="expression" dxfId="121" priority="215">
      <formula>IF(B47=0,TRUE)</formula>
    </cfRule>
  </conditionalFormatting>
  <conditionalFormatting sqref="C48">
    <cfRule type="expression" dxfId="120" priority="136">
      <formula>IF(H14=4,TRUE)</formula>
    </cfRule>
    <cfRule type="expression" dxfId="119" priority="212">
      <formula>IF(B48&gt;0,TRUE)</formula>
    </cfRule>
    <cfRule type="expression" dxfId="118" priority="213">
      <formula>IF(B48=0,TRUE)</formula>
    </cfRule>
  </conditionalFormatting>
  <conditionalFormatting sqref="C49">
    <cfRule type="expression" dxfId="117" priority="135">
      <formula>IF(H14=4,TRUE)</formula>
    </cfRule>
    <cfRule type="expression" dxfId="116" priority="210">
      <formula>IF(B49&gt;0,TRUE)</formula>
    </cfRule>
    <cfRule type="expression" dxfId="115" priority="211">
      <formula>IF(B49=0,TRUE)</formula>
    </cfRule>
  </conditionalFormatting>
  <conditionalFormatting sqref="C51">
    <cfRule type="expression" dxfId="114" priority="1">
      <formula>IF(G14=4,TRUE)</formula>
    </cfRule>
    <cfRule type="expression" dxfId="113" priority="2">
      <formula>IF(F51&lt;1,TRUE)</formula>
    </cfRule>
  </conditionalFormatting>
  <conditionalFormatting sqref="A50">
    <cfRule type="expression" dxfId="112" priority="486">
      <formula>IF(H6&lt;2,TRUE)</formula>
    </cfRule>
    <cfRule type="expression" dxfId="111" priority="487">
      <formula>IF($G$50=1,TRUE)</formula>
    </cfRule>
    <cfRule type="expression" dxfId="110" priority="488">
      <formula>IF(B5="D. Product Level",TRUE)</formula>
    </cfRule>
  </conditionalFormatting>
  <conditionalFormatting sqref="B50">
    <cfRule type="expression" dxfId="109" priority="489">
      <formula>IF(H6&lt;2,TRUE)</formula>
    </cfRule>
  </conditionalFormatting>
  <conditionalFormatting sqref="B37">
    <cfRule type="expression" dxfId="108" priority="162">
      <formula>IF(G12=1,TRUE)</formula>
    </cfRule>
  </conditionalFormatting>
  <conditionalFormatting sqref="B38">
    <cfRule type="expression" dxfId="107" priority="161">
      <formula>IF(G13=1,TRUE)</formula>
    </cfRule>
  </conditionalFormatting>
  <conditionalFormatting sqref="B39">
    <cfRule type="expression" dxfId="106" priority="160">
      <formula>IF(G14=1,TRUE)</formula>
    </cfRule>
  </conditionalFormatting>
  <conditionalFormatting sqref="B40">
    <cfRule type="expression" dxfId="105" priority="159">
      <formula>IF(H14=4,TRUE)</formula>
    </cfRule>
  </conditionalFormatting>
  <conditionalFormatting sqref="B41">
    <cfRule type="expression" dxfId="104" priority="158">
      <formula>IF(H14=4,TRUE)</formula>
    </cfRule>
  </conditionalFormatting>
  <conditionalFormatting sqref="B42">
    <cfRule type="expression" dxfId="103" priority="157">
      <formula>IF(H14=4,TRUE)</formula>
    </cfRule>
  </conditionalFormatting>
  <conditionalFormatting sqref="B43">
    <cfRule type="expression" dxfId="102" priority="156">
      <formula>IF(H14=4,TRUE)</formula>
    </cfRule>
  </conditionalFormatting>
  <conditionalFormatting sqref="B44">
    <cfRule type="expression" dxfId="101" priority="155">
      <formula>IF(H14=4,TRUE)</formula>
    </cfRule>
  </conditionalFormatting>
  <conditionalFormatting sqref="B45">
    <cfRule type="expression" dxfId="100" priority="153">
      <formula>IF(H14=4,TRUE)</formula>
    </cfRule>
  </conditionalFormatting>
  <conditionalFormatting sqref="B46">
    <cfRule type="expression" dxfId="99" priority="152">
      <formula>IF(H14=4,TRUE)</formula>
    </cfRule>
  </conditionalFormatting>
  <conditionalFormatting sqref="B47">
    <cfRule type="expression" dxfId="98" priority="151">
      <formula>IF(H14=4,TRUE)</formula>
    </cfRule>
  </conditionalFormatting>
  <conditionalFormatting sqref="B48">
    <cfRule type="expression" dxfId="97" priority="150">
      <formula>IF(H14=4,TRUE)</formula>
    </cfRule>
  </conditionalFormatting>
  <conditionalFormatting sqref="B49">
    <cfRule type="expression" dxfId="96" priority="149">
      <formula>IF(H14=4,TRUE)</formula>
    </cfRule>
  </conditionalFormatting>
  <conditionalFormatting sqref="C50">
    <cfRule type="expression" dxfId="95" priority="526">
      <formula>IF(H6&lt;2,TRUE)</formula>
    </cfRule>
    <cfRule type="expression" dxfId="94" priority="527">
      <formula>IF(G50=1,TRUE)</formula>
    </cfRule>
    <cfRule type="expression" dxfId="93" priority="528">
      <formula>IF(G50=0,TRUE)</formula>
    </cfRule>
  </conditionalFormatting>
  <conditionalFormatting sqref="A17">
    <cfRule type="expression" dxfId="92" priority="26">
      <formula>IF(B12="No",TRUE)</formula>
    </cfRule>
    <cfRule type="expression" dxfId="91" priority="127">
      <formula>IF(B17&gt;0,TRUE)</formula>
    </cfRule>
    <cfRule type="expression" dxfId="90" priority="128">
      <formula>IF(B17=0,TRUE)</formula>
    </cfRule>
  </conditionalFormatting>
  <conditionalFormatting sqref="A18">
    <cfRule type="expression" dxfId="89" priority="17">
      <formula>IF(B13="No",TRUE)</formula>
    </cfRule>
    <cfRule type="expression" dxfId="88" priority="125">
      <formula>IF(B18&gt;0,TRUE)</formula>
    </cfRule>
    <cfRule type="expression" dxfId="87" priority="126">
      <formula>IF(B18=0,TRUE)</formula>
    </cfRule>
  </conditionalFormatting>
  <conditionalFormatting sqref="A19">
    <cfRule type="expression" dxfId="86" priority="10">
      <formula>IF(B14="No",TRUE)</formula>
    </cfRule>
    <cfRule type="expression" dxfId="85" priority="123">
      <formula>IF(B19&gt;0,TRUE)</formula>
    </cfRule>
    <cfRule type="expression" dxfId="84" priority="124">
      <formula>IF(B19=0,TRUE)</formula>
    </cfRule>
  </conditionalFormatting>
  <conditionalFormatting sqref="C17">
    <cfRule type="expression" dxfId="83" priority="23">
      <formula>IF(B12="No",TRUE)</formula>
    </cfRule>
    <cfRule type="expression" dxfId="82" priority="119">
      <formula>IF(B17&gt;0,TRUE)</formula>
    </cfRule>
    <cfRule type="expression" dxfId="81" priority="120">
      <formula>IF(B17=0,TRUE)</formula>
    </cfRule>
  </conditionalFormatting>
  <conditionalFormatting sqref="C18">
    <cfRule type="expression" dxfId="80" priority="16">
      <formula>IF(B13="No",TRUE)</formula>
    </cfRule>
    <cfRule type="expression" dxfId="79" priority="117">
      <formula>IF(B18&gt;0,TRUE)</formula>
    </cfRule>
    <cfRule type="expression" dxfId="78" priority="118">
      <formula>IF(B18=0,TRUE)</formula>
    </cfRule>
  </conditionalFormatting>
  <conditionalFormatting sqref="C19">
    <cfRule type="expression" dxfId="77" priority="9">
      <formula>IF(B14="No",TRUE)</formula>
    </cfRule>
    <cfRule type="expression" dxfId="76" priority="115">
      <formula>IF(B19&gt;0,TRUE)</formula>
    </cfRule>
    <cfRule type="expression" dxfId="75" priority="116">
      <formula>IF(B19=0,TRUE)</formula>
    </cfRule>
  </conditionalFormatting>
  <conditionalFormatting sqref="A22">
    <cfRule type="expression" dxfId="74" priority="22">
      <formula>IF(B12="No",TRUE)</formula>
    </cfRule>
    <cfRule type="expression" dxfId="73" priority="111">
      <formula>IF(B22&gt;0,TRUE)</formula>
    </cfRule>
    <cfRule type="expression" dxfId="72" priority="112">
      <formula>IF(B22=0,TRUE)</formula>
    </cfRule>
  </conditionalFormatting>
  <conditionalFormatting sqref="A23">
    <cfRule type="expression" dxfId="71" priority="15">
      <formula>IF(B13="No",TRUE)</formula>
    </cfRule>
    <cfRule type="expression" dxfId="70" priority="109">
      <formula>IF(B23&gt;0,TRUE)</formula>
    </cfRule>
    <cfRule type="expression" dxfId="69" priority="110">
      <formula>IF(B23=0,TRUE)</formula>
    </cfRule>
  </conditionalFormatting>
  <conditionalFormatting sqref="A24">
    <cfRule type="expression" dxfId="68" priority="8">
      <formula>IF(B14="No",TRUE)</formula>
    </cfRule>
    <cfRule type="expression" dxfId="67" priority="107">
      <formula>IF(B24&gt;0,TRUE)</formula>
    </cfRule>
    <cfRule type="expression" dxfId="66" priority="108">
      <formula>IF(B24=0,TRUE)</formula>
    </cfRule>
  </conditionalFormatting>
  <conditionalFormatting sqref="C22">
    <cfRule type="expression" dxfId="65" priority="21">
      <formula>IF(B12="No",TRUE)</formula>
    </cfRule>
    <cfRule type="expression" dxfId="64" priority="101">
      <formula>IF(B22&gt;0,TRUE)</formula>
    </cfRule>
    <cfRule type="expression" dxfId="63" priority="102">
      <formula>IF(B22=0,TRUE)</formula>
    </cfRule>
  </conditionalFormatting>
  <conditionalFormatting sqref="C23">
    <cfRule type="expression" dxfId="62" priority="14">
      <formula>IF(B13="No",TRUE)</formula>
    </cfRule>
    <cfRule type="expression" dxfId="61" priority="99">
      <formula>IF(B23&gt;0,TRUE)</formula>
    </cfRule>
    <cfRule type="expression" dxfId="60" priority="100">
      <formula>IF(B23=0,TRUE)</formula>
    </cfRule>
  </conditionalFormatting>
  <conditionalFormatting sqref="C24">
    <cfRule type="expression" dxfId="59" priority="7">
      <formula>IF(B14="No",TRUE)</formula>
    </cfRule>
    <cfRule type="expression" dxfId="58" priority="97">
      <formula>IF(B24&gt;0,TRUE)</formula>
    </cfRule>
    <cfRule type="expression" dxfId="57" priority="98">
      <formula>IF(B24=0,TRUE)</formula>
    </cfRule>
  </conditionalFormatting>
  <conditionalFormatting sqref="A27">
    <cfRule type="expression" dxfId="56" priority="20">
      <formula>IF(B12="No",TRUE)</formula>
    </cfRule>
    <cfRule type="expression" dxfId="55" priority="93">
      <formula>IF(B27&gt;0,TRUE)</formula>
    </cfRule>
    <cfRule type="expression" dxfId="54" priority="94">
      <formula>IF(B27=0,TRUE)</formula>
    </cfRule>
  </conditionalFormatting>
  <conditionalFormatting sqref="A28">
    <cfRule type="expression" dxfId="53" priority="13">
      <formula>IF(B13="No",TRUE)</formula>
    </cfRule>
    <cfRule type="expression" dxfId="52" priority="91">
      <formula>IF(B28&gt;0,TRUE)</formula>
    </cfRule>
    <cfRule type="expression" dxfId="51" priority="92">
      <formula>IF(B28=0,TRUE)</formula>
    </cfRule>
  </conditionalFormatting>
  <conditionalFormatting sqref="A29">
    <cfRule type="expression" dxfId="50" priority="6">
      <formula>IF(B14="No",TRUE)</formula>
    </cfRule>
    <cfRule type="expression" dxfId="49" priority="89">
      <formula>IF(B29&gt;0,TRUE)</formula>
    </cfRule>
    <cfRule type="expression" dxfId="48" priority="90">
      <formula>IF(B29=0,TRUE)</formula>
    </cfRule>
  </conditionalFormatting>
  <conditionalFormatting sqref="A32">
    <cfRule type="expression" dxfId="47" priority="19">
      <formula>IF(B12="No",TRUE)</formula>
    </cfRule>
    <cfRule type="expression" dxfId="46" priority="67">
      <formula>IF(B32&gt;0,TRUE)</formula>
    </cfRule>
    <cfRule type="expression" dxfId="45" priority="68">
      <formula>IF(B32=0,TRUE)</formula>
    </cfRule>
  </conditionalFormatting>
  <conditionalFormatting sqref="A33">
    <cfRule type="expression" dxfId="44" priority="12">
      <formula>IF(B13="No",TRUE)</formula>
    </cfRule>
    <cfRule type="expression" dxfId="43" priority="65">
      <formula>IF(B33&gt;0,TRUE)</formula>
    </cfRule>
    <cfRule type="expression" dxfId="42" priority="66">
      <formula>IF(B33=0,TRUE)</formula>
    </cfRule>
  </conditionalFormatting>
  <conditionalFormatting sqref="A34">
    <cfRule type="expression" dxfId="41" priority="5">
      <formula>IF(B14="No",TRUE)</formula>
    </cfRule>
    <cfRule type="expression" dxfId="40" priority="63">
      <formula>IF(B34&gt;0,TRUE)</formula>
    </cfRule>
    <cfRule type="expression" dxfId="39" priority="64">
      <formula>IF(B34=0,TRUE)</formula>
    </cfRule>
  </conditionalFormatting>
  <conditionalFormatting sqref="C32">
    <cfRule type="expression" dxfId="38" priority="49">
      <formula>IF(B12="No",TRUE)</formula>
    </cfRule>
    <cfRule type="expression" dxfId="37" priority="50">
      <formula>IF(B32&gt;0,TRUE)</formula>
    </cfRule>
    <cfRule type="expression" dxfId="36" priority="51">
      <formula>IF(B32=0,TRUE)</formula>
    </cfRule>
  </conditionalFormatting>
  <conditionalFormatting sqref="C33">
    <cfRule type="expression" dxfId="35" priority="46">
      <formula>IF(B13="No",TRUE)</formula>
    </cfRule>
    <cfRule type="expression" dxfId="34" priority="47">
      <formula>IF(B33&gt;0,TRUE)</formula>
    </cfRule>
    <cfRule type="expression" dxfId="33" priority="48">
      <formula>IF(B33=0,TRUE)</formula>
    </cfRule>
  </conditionalFormatting>
  <conditionalFormatting sqref="C34">
    <cfRule type="expression" dxfId="32" priority="43">
      <formula>IF(B14="No",TRUE)</formula>
    </cfRule>
    <cfRule type="expression" dxfId="31" priority="44">
      <formula>IF(B34&gt;0,TRUE)</formula>
    </cfRule>
    <cfRule type="expression" dxfId="30" priority="45">
      <formula>IF(B34=0,TRUE)</formula>
    </cfRule>
  </conditionalFormatting>
  <conditionalFormatting sqref="A16">
    <cfRule type="expression" dxfId="29" priority="24">
      <formula>IF(B11="No",TRUE)</formula>
    </cfRule>
    <cfRule type="expression" dxfId="28" priority="25">
      <formula>IF(B16&gt;0,TRUE)</formula>
    </cfRule>
    <cfRule type="expression" dxfId="27" priority="42">
      <formula>IF(B21=0,TRUE)</formula>
    </cfRule>
  </conditionalFormatting>
  <conditionalFormatting sqref="C16">
    <cfRule type="expression" dxfId="26" priority="40">
      <formula>IF(B11="No",TRUE)</formula>
    </cfRule>
    <cfRule type="expression" dxfId="25" priority="121">
      <formula>IF(B16&gt;0,TRUE)</formula>
    </cfRule>
    <cfRule type="expression" dxfId="24" priority="122">
      <formula>IF(B16=0,TRUE)</formula>
    </cfRule>
  </conditionalFormatting>
  <conditionalFormatting sqref="A21">
    <cfRule type="expression" dxfId="23" priority="39">
      <formula>IF(B11="No",TRUE)</formula>
    </cfRule>
    <cfRule type="expression" dxfId="22" priority="113">
      <formula>IF(B21&gt;0,TRUE)</formula>
    </cfRule>
    <cfRule type="expression" dxfId="21" priority="114">
      <formula>IF(B21=0,TRUE)</formula>
    </cfRule>
  </conditionalFormatting>
  <conditionalFormatting sqref="C21">
    <cfRule type="expression" dxfId="20" priority="37">
      <formula>IF(B11="No",TRUE)</formula>
    </cfRule>
    <cfRule type="expression" dxfId="19" priority="103">
      <formula>IF(B21&gt;0,TRUE)</formula>
    </cfRule>
    <cfRule type="expression" dxfId="18" priority="104">
      <formula>IF(B21=0,TRUE)</formula>
    </cfRule>
  </conditionalFormatting>
  <conditionalFormatting sqref="A26">
    <cfRule type="expression" dxfId="17" priority="36">
      <formula>IF(B11="No",TRUE)</formula>
    </cfRule>
    <cfRule type="expression" dxfId="16" priority="95">
      <formula>IF(B26&gt;0,TRUE)</formula>
    </cfRule>
    <cfRule type="expression" dxfId="15" priority="96">
      <formula>IF(B26=0,TRUE)</formula>
    </cfRule>
  </conditionalFormatting>
  <conditionalFormatting sqref="C26">
    <cfRule type="expression" dxfId="14" priority="34">
      <formula>IF(B11="No",TRUE)</formula>
    </cfRule>
    <cfRule type="expression" dxfId="13" priority="244">
      <formula>IF(B26&gt;0,TRUE)</formula>
    </cfRule>
    <cfRule type="expression" dxfId="12" priority="245">
      <formula>IF(B26=0,TRUE)</formula>
    </cfRule>
  </conditionalFormatting>
  <conditionalFormatting sqref="A31">
    <cfRule type="expression" dxfId="11" priority="33">
      <formula>IF(B11="No",TRUE)</formula>
    </cfRule>
    <cfRule type="expression" dxfId="10" priority="69">
      <formula>IF(B31&gt;0,TRUE)</formula>
    </cfRule>
    <cfRule type="expression" dxfId="9" priority="70">
      <formula>IF(B31=0,TRUE)</formula>
    </cfRule>
  </conditionalFormatting>
  <conditionalFormatting sqref="C31">
    <cfRule type="expression" dxfId="8" priority="31">
      <formula>IF(B11="No",TRUE)</formula>
    </cfRule>
    <cfRule type="expression" dxfId="7" priority="53">
      <formula>IF(B31&gt;0,TRUE)</formula>
    </cfRule>
    <cfRule type="expression" dxfId="6" priority="54">
      <formula>IF(B31=0,TRUE)</formula>
    </cfRule>
  </conditionalFormatting>
  <conditionalFormatting sqref="A36">
    <cfRule type="expression" dxfId="5" priority="30">
      <formula>IF(B11="No",TRUE)</formula>
    </cfRule>
    <cfRule type="expression" dxfId="4" priority="406">
      <formula>IF(B36&gt;0,TRUE)</formula>
    </cfRule>
    <cfRule type="expression" dxfId="3" priority="407">
      <formula>IF(B36=0,TRUE)</formula>
    </cfRule>
  </conditionalFormatting>
  <conditionalFormatting sqref="B36">
    <cfRule type="expression" dxfId="2" priority="27">
      <formula>IF(B11="No",TRUE)</formula>
    </cfRule>
    <cfRule type="cellIs" dxfId="1" priority="29" operator="notEqual">
      <formula>0</formula>
    </cfRule>
  </conditionalFormatting>
  <conditionalFormatting sqref="A40:C49">
    <cfRule type="expression" dxfId="0" priority="3">
      <formula>IF($G$14=4,TRUE)</formula>
    </cfRule>
  </conditionalFormatting>
  <hyperlinks>
    <hyperlink ref="D4" location="Declaration!D7" display="Declaration!D7"/>
    <hyperlink ref="D5" location="Declaration!D8" display="Declaration!D8"/>
    <hyperlink ref="D6" location="Declaration!D9" display="Click here to provide a Description of Scope"/>
    <hyperlink ref="D7" location="Declaration!D12" display="Declaration!D12"/>
    <hyperlink ref="D8" location="Declaration!D14" display="Click here to enter Representative's email"/>
    <hyperlink ref="D9" location="Declaration!D16" display="Click here to enter Date of Completion"/>
    <hyperlink ref="D11" location="Declaration!D19" display="Click here to answer question 1 for Tantalum"/>
    <hyperlink ref="D12" location="Declaration!D20" display="Click here to answer question 1 for Tin"/>
    <hyperlink ref="D13" location="Declaration!D21" display="Click here to answer question 1 for Gold"/>
    <hyperlink ref="D14" location="Declaration!D22" display="Click here to answer question 1 for Tungsten"/>
    <hyperlink ref="D26" location="Declaration!D40" display="Declaration!D40"/>
    <hyperlink ref="D27" location="Declaration!D41" display="Declaration!D41"/>
    <hyperlink ref="D28" location="Declaration!D42" display="Declaration!D42"/>
    <hyperlink ref="D29" location="Declaration!D43" display="Declaration!D43"/>
    <hyperlink ref="D40" location="Declaration!D50" display="Click here to document answer on DRC Conflict-Free sourcing policy"/>
    <hyperlink ref="D41" location="Declaration!D52" display="Click here to document answer on public availability"/>
    <hyperlink ref="D42" location="Declaration!D54" display="Click here to document supplier requirement"/>
    <hyperlink ref="D43" location="Declaration!D56" display="Click here to document use of CFS list"/>
    <hyperlink ref="D44" location="Declaration!D58" display="Click here to document Conflict Minerals due diligence"/>
    <hyperlink ref="D45" location="Declaration!D62" display="Click here to document supplier requirement for surveys"/>
    <hyperlink ref="D46" location="Declaration!D64" display="Click here to document smelter name collection"/>
    <hyperlink ref="D47" location="Declaration!D66" display="Click here to document response documentation"/>
    <hyperlink ref="D48" location="Declaration!D68" display="Click here to document corrective action"/>
    <hyperlink ref="D49" location="Declaration!D70" display="Click here to document SEC disclosure requirement"/>
    <hyperlink ref="D50" location="'Product List'!B6" display="'Product List'!B6"/>
    <hyperlink ref="D51" location="Declaration!H23" display="Click here to provide smelter information"/>
    <hyperlink ref="A2" location="Declaration!D3" display="Click here to return to Declaration tab"/>
    <hyperlink ref="B2" location="'Smelter List'!J3" display="'Smelter List'!J3"/>
    <hyperlink ref="C2" location="'Product List'!E3" display="Click here to return to Product List"/>
    <hyperlink ref="D16" location="Declaration!D28" display="Click here to answer question 2 for Tantalum"/>
    <hyperlink ref="D17" location="Declaration!D29" display="Click here to answer question 2 for Tin"/>
    <hyperlink ref="D18" location="Declaration!D30" display="Click here to answer question 2 for Gold"/>
    <hyperlink ref="D19" location="Declaration!D31" display="Click here to answer question 2 for Tungsten"/>
    <hyperlink ref="D21" location="Declaration!D34" display="Click here to answer question 3 for Tantalum"/>
    <hyperlink ref="D22" location="Declaration!D35" display="Click here to answer question 3 for Tin"/>
    <hyperlink ref="D23" location="Declaration!D36" display="Click here to answer question 3 for Gold"/>
    <hyperlink ref="D24" location="Declaration!D37" display="Click here to answer question 3 for Tungsten"/>
    <hyperlink ref="D31" location="Declaration!D46" display="Click here to answer question 5 for Tantalum"/>
    <hyperlink ref="D32" location="Declaration!D47" display="Click here to answer question 5 for Tin"/>
    <hyperlink ref="D33" location="Declaration!D48" display="Click here to answer question 5 for Gold"/>
    <hyperlink ref="D34" location="Declaration!D49" display="Click here to answer question 5 for Tungsten"/>
    <hyperlink ref="D36" location="Declaration!D52" display="Declaration!D52"/>
    <hyperlink ref="D37" location="Declaration!D53" display="Declaration!D53"/>
    <hyperlink ref="D38" location="Declaration!D54" display="Declaration!D54"/>
    <hyperlink ref="D39" location="Declaration!D55" display="Declaration!D55"/>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307"/>
  <sheetViews>
    <sheetView workbookViewId="0">
      <selection activeCell="B6" sqref="B6"/>
    </sheetView>
  </sheetViews>
  <sheetFormatPr defaultColWidth="8.75" defaultRowHeight="12.75"/>
  <cols>
    <col min="1" max="1" width="1.625" style="127" customWidth="1"/>
    <col min="2" max="2" width="39.875" style="193" customWidth="1"/>
    <col min="3" max="4" width="39.875" style="127" customWidth="1"/>
    <col min="5" max="5" width="16" style="127" customWidth="1"/>
    <col min="6" max="6" width="8.75" style="127"/>
    <col min="7" max="7" width="1.625" style="127" customWidth="1"/>
    <col min="8" max="16384" width="8.75" style="127"/>
  </cols>
  <sheetData>
    <row r="1" spans="1:7" ht="34.9" customHeight="1" thickTop="1">
      <c r="A1" s="326" t="str">
        <f>IF(Declaration!$D$3="English",A304,IF(Declaration!$D$3="中文 Chinese",B304,IF(Declaration!$D$3="日本語 Japanese",C304,IF(Declaration!$D$3="한국어 Korean",D304,IF(Declaration!$D$3="Français",E304,IF(Declaration!$D$3="Português",F304,IF(Declaration!$D$3="Deutsch",G304,IF(Declaration!$D$3="Español",H304))))))))</f>
        <v>Completion required only if reporting level "Product-level" selected on the 'Declaration' tab.</v>
      </c>
      <c r="B1" s="327"/>
      <c r="C1" s="327"/>
      <c r="D1" s="327"/>
      <c r="E1" s="327"/>
      <c r="F1" s="327"/>
      <c r="G1" s="328"/>
    </row>
    <row r="2" spans="1:7" ht="27">
      <c r="A2" s="329"/>
      <c r="B2" s="331"/>
      <c r="C2" s="332"/>
      <c r="D2" s="333"/>
      <c r="E2" s="128"/>
      <c r="F2" s="129"/>
      <c r="G2" s="337"/>
    </row>
    <row r="3" spans="1:7" ht="63" customHeight="1">
      <c r="A3" s="329"/>
      <c r="B3" s="334"/>
      <c r="C3" s="335"/>
      <c r="D3" s="336"/>
      <c r="E3" s="173"/>
      <c r="F3" s="130"/>
      <c r="G3" s="337"/>
    </row>
    <row r="4" spans="1:7" ht="15.75" customHeight="1">
      <c r="A4" s="329"/>
      <c r="B4" s="276" t="s">
        <v>2104</v>
      </c>
      <c r="C4" s="276"/>
      <c r="D4" s="276"/>
      <c r="E4" s="276"/>
      <c r="F4" s="276"/>
      <c r="G4" s="337"/>
    </row>
    <row r="5" spans="1:7" ht="15.75">
      <c r="A5" s="329"/>
      <c r="B5" s="190" t="str">
        <f>IF(Declaration!$D$3="English",A305,IF(Declaration!$D$3="中文 Chinese",B305,IF(Declaration!$D$3="日本語 Japanese",C305,IF(Declaration!$D$3="한국어 Korean",D305,IF(Declaration!$D$3="Français",E305,IF(Declaration!$D$3="Português",F305,IF(Declaration!$D$3="Deutsch",G305,IF(Declaration!$D$3="Español",H305))))))))</f>
        <v>Product or Item Number (*)</v>
      </c>
      <c r="C5" s="108" t="str">
        <f>IF(Declaration!$D$3="English",A306,IF(Declaration!$D$3="中文 Chinese",B306,IF(Declaration!$D$3="日本語 Japanese",C306,IF(Declaration!$D$3="한국어 Korean",D306,IF(Declaration!$D$3="Français",E306,IF(Declaration!$D$3="Português",F306,IF(Declaration!$D$3="Deutsch",G306,IF(Declaration!$D$3="Español",H306))))))))</f>
        <v>Product or Item Description</v>
      </c>
      <c r="D5" s="339" t="str">
        <f>IF(Declaration!$D$3="English",A307,IF(Declaration!$D$3="中文 Chinese",B307,IF(Declaration!$D$3="日本語 Japanese",C307,IF(Declaration!$D$3="한국어 Korean",D307,IF(Declaration!$D$3="Français",E307,IF(Declaration!$D$3="Português",F307,IF(Declaration!$D$3="Deutsch",G307,IF(Declaration!$D$3="Español",H307))))))))</f>
        <v>Comments</v>
      </c>
      <c r="E5" s="339"/>
      <c r="F5" s="339"/>
      <c r="G5" s="337"/>
    </row>
    <row r="6" spans="1:7" ht="15.75">
      <c r="A6" s="329"/>
      <c r="B6" s="191"/>
      <c r="C6" s="6"/>
      <c r="D6" s="323"/>
      <c r="E6" s="324"/>
      <c r="F6" s="325"/>
      <c r="G6" s="337"/>
    </row>
    <row r="7" spans="1:7" ht="15.75">
      <c r="A7" s="329"/>
      <c r="B7" s="191"/>
      <c r="C7" s="6"/>
      <c r="D7" s="323"/>
      <c r="E7" s="324"/>
      <c r="F7" s="325"/>
      <c r="G7" s="337"/>
    </row>
    <row r="8" spans="1:7" ht="15.75">
      <c r="A8" s="329"/>
      <c r="B8" s="191"/>
      <c r="C8" s="6"/>
      <c r="D8" s="323"/>
      <c r="E8" s="324"/>
      <c r="F8" s="325"/>
      <c r="G8" s="337"/>
    </row>
    <row r="9" spans="1:7" ht="15.75">
      <c r="A9" s="329"/>
      <c r="B9" s="191"/>
      <c r="C9" s="6"/>
      <c r="D9" s="323"/>
      <c r="E9" s="324"/>
      <c r="F9" s="325"/>
      <c r="G9" s="337"/>
    </row>
    <row r="10" spans="1:7" ht="15.75">
      <c r="A10" s="329"/>
      <c r="B10" s="191"/>
      <c r="C10" s="6"/>
      <c r="D10" s="323"/>
      <c r="E10" s="324"/>
      <c r="F10" s="325"/>
      <c r="G10" s="337"/>
    </row>
    <row r="11" spans="1:7" ht="15.75">
      <c r="A11" s="329"/>
      <c r="B11" s="191"/>
      <c r="C11" s="6"/>
      <c r="D11" s="323"/>
      <c r="E11" s="324"/>
      <c r="F11" s="325"/>
      <c r="G11" s="337"/>
    </row>
    <row r="12" spans="1:7" ht="15.75">
      <c r="A12" s="329"/>
      <c r="B12" s="191"/>
      <c r="C12" s="6"/>
      <c r="D12" s="323"/>
      <c r="E12" s="324"/>
      <c r="F12" s="325"/>
      <c r="G12" s="337"/>
    </row>
    <row r="13" spans="1:7" ht="15.75">
      <c r="A13" s="329"/>
      <c r="B13" s="191"/>
      <c r="C13" s="6"/>
      <c r="D13" s="323"/>
      <c r="E13" s="324"/>
      <c r="F13" s="325"/>
      <c r="G13" s="337"/>
    </row>
    <row r="14" spans="1:7" ht="15.75">
      <c r="A14" s="329"/>
      <c r="B14" s="191"/>
      <c r="C14" s="6"/>
      <c r="D14" s="323"/>
      <c r="E14" s="324"/>
      <c r="F14" s="325"/>
      <c r="G14" s="337"/>
    </row>
    <row r="15" spans="1:7" ht="15.75">
      <c r="A15" s="329"/>
      <c r="B15" s="191"/>
      <c r="C15" s="6"/>
      <c r="D15" s="323"/>
      <c r="E15" s="324"/>
      <c r="F15" s="325"/>
      <c r="G15" s="337"/>
    </row>
    <row r="16" spans="1:7" ht="15.75">
      <c r="A16" s="329"/>
      <c r="B16" s="191"/>
      <c r="C16" s="6"/>
      <c r="D16" s="323"/>
      <c r="E16" s="324"/>
      <c r="F16" s="325"/>
      <c r="G16" s="337"/>
    </row>
    <row r="17" spans="1:7" ht="15.75">
      <c r="A17" s="329"/>
      <c r="B17" s="191"/>
      <c r="C17" s="6"/>
      <c r="D17" s="323"/>
      <c r="E17" s="324"/>
      <c r="F17" s="325"/>
      <c r="G17" s="337"/>
    </row>
    <row r="18" spans="1:7" ht="15.75">
      <c r="A18" s="329"/>
      <c r="B18" s="191"/>
      <c r="C18" s="6"/>
      <c r="D18" s="323"/>
      <c r="E18" s="324"/>
      <c r="F18" s="325"/>
      <c r="G18" s="337"/>
    </row>
    <row r="19" spans="1:7" ht="15.75">
      <c r="A19" s="329"/>
      <c r="B19" s="191"/>
      <c r="C19" s="6"/>
      <c r="D19" s="323"/>
      <c r="E19" s="324"/>
      <c r="F19" s="325"/>
      <c r="G19" s="337"/>
    </row>
    <row r="20" spans="1:7" ht="15.75">
      <c r="A20" s="329"/>
      <c r="B20" s="191"/>
      <c r="C20" s="6"/>
      <c r="D20" s="323"/>
      <c r="E20" s="324"/>
      <c r="F20" s="325"/>
      <c r="G20" s="337"/>
    </row>
    <row r="21" spans="1:7" ht="15.75">
      <c r="A21" s="329"/>
      <c r="B21" s="191"/>
      <c r="C21" s="6"/>
      <c r="D21" s="323"/>
      <c r="E21" s="324"/>
      <c r="F21" s="325"/>
      <c r="G21" s="337"/>
    </row>
    <row r="22" spans="1:7" ht="15.75">
      <c r="A22" s="329"/>
      <c r="B22" s="191"/>
      <c r="C22" s="6"/>
      <c r="D22" s="323"/>
      <c r="E22" s="324"/>
      <c r="F22" s="325"/>
      <c r="G22" s="337"/>
    </row>
    <row r="23" spans="1:7" ht="15.75">
      <c r="A23" s="329"/>
      <c r="B23" s="191"/>
      <c r="C23" s="6"/>
      <c r="D23" s="323"/>
      <c r="E23" s="324"/>
      <c r="F23" s="325"/>
      <c r="G23" s="337"/>
    </row>
    <row r="24" spans="1:7" ht="15.75">
      <c r="A24" s="329"/>
      <c r="B24" s="191"/>
      <c r="C24" s="6"/>
      <c r="D24" s="323"/>
      <c r="E24" s="324"/>
      <c r="F24" s="325"/>
      <c r="G24" s="337"/>
    </row>
    <row r="25" spans="1:7" ht="15.75">
      <c r="A25" s="329"/>
      <c r="B25" s="191"/>
      <c r="C25" s="6"/>
      <c r="D25" s="323"/>
      <c r="E25" s="324"/>
      <c r="F25" s="325"/>
      <c r="G25" s="337"/>
    </row>
    <row r="26" spans="1:7" ht="15.75">
      <c r="A26" s="329"/>
      <c r="B26" s="191"/>
      <c r="C26" s="6"/>
      <c r="D26" s="323"/>
      <c r="E26" s="324"/>
      <c r="F26" s="325"/>
      <c r="G26" s="337"/>
    </row>
    <row r="27" spans="1:7" ht="15.75">
      <c r="A27" s="329"/>
      <c r="B27" s="191"/>
      <c r="C27" s="6"/>
      <c r="D27" s="323"/>
      <c r="E27" s="324"/>
      <c r="F27" s="325"/>
      <c r="G27" s="337"/>
    </row>
    <row r="28" spans="1:7" ht="15.75">
      <c r="A28" s="329"/>
      <c r="B28" s="191"/>
      <c r="C28" s="6"/>
      <c r="D28" s="323"/>
      <c r="E28" s="324"/>
      <c r="F28" s="325"/>
      <c r="G28" s="337"/>
    </row>
    <row r="29" spans="1:7" ht="15.75">
      <c r="A29" s="329"/>
      <c r="B29" s="191"/>
      <c r="C29" s="6"/>
      <c r="D29" s="323"/>
      <c r="E29" s="324"/>
      <c r="F29" s="325"/>
      <c r="G29" s="337"/>
    </row>
    <row r="30" spans="1:7" ht="15.75">
      <c r="A30" s="329"/>
      <c r="B30" s="191"/>
      <c r="C30" s="6"/>
      <c r="D30" s="323"/>
      <c r="E30" s="324"/>
      <c r="F30" s="325"/>
      <c r="G30" s="337"/>
    </row>
    <row r="31" spans="1:7" ht="15.75">
      <c r="A31" s="329"/>
      <c r="B31" s="191"/>
      <c r="C31" s="6"/>
      <c r="D31" s="323"/>
      <c r="E31" s="324"/>
      <c r="F31" s="325"/>
      <c r="G31" s="337"/>
    </row>
    <row r="32" spans="1:7" ht="15.75">
      <c r="A32" s="329"/>
      <c r="B32" s="191"/>
      <c r="C32" s="6"/>
      <c r="D32" s="323"/>
      <c r="E32" s="324"/>
      <c r="F32" s="325"/>
      <c r="G32" s="337"/>
    </row>
    <row r="33" spans="1:7" ht="15.75">
      <c r="A33" s="329"/>
      <c r="B33" s="191"/>
      <c r="C33" s="6"/>
      <c r="D33" s="323"/>
      <c r="E33" s="324"/>
      <c r="F33" s="325"/>
      <c r="G33" s="337"/>
    </row>
    <row r="34" spans="1:7" ht="15.75">
      <c r="A34" s="329"/>
      <c r="B34" s="191"/>
      <c r="C34" s="6"/>
      <c r="D34" s="323"/>
      <c r="E34" s="324"/>
      <c r="F34" s="325"/>
      <c r="G34" s="337"/>
    </row>
    <row r="35" spans="1:7" ht="15.75">
      <c r="A35" s="329"/>
      <c r="B35" s="191"/>
      <c r="C35" s="6"/>
      <c r="D35" s="323"/>
      <c r="E35" s="324"/>
      <c r="F35" s="325"/>
      <c r="G35" s="337"/>
    </row>
    <row r="36" spans="1:7" ht="15.75">
      <c r="A36" s="329"/>
      <c r="B36" s="191"/>
      <c r="C36" s="6"/>
      <c r="D36" s="323"/>
      <c r="E36" s="324"/>
      <c r="F36" s="325"/>
      <c r="G36" s="337"/>
    </row>
    <row r="37" spans="1:7" ht="15.75">
      <c r="A37" s="329"/>
      <c r="B37" s="191"/>
      <c r="C37" s="6"/>
      <c r="D37" s="323"/>
      <c r="E37" s="324"/>
      <c r="F37" s="325"/>
      <c r="G37" s="337"/>
    </row>
    <row r="38" spans="1:7" ht="15.75">
      <c r="A38" s="329"/>
      <c r="B38" s="191"/>
      <c r="C38" s="6"/>
      <c r="D38" s="323"/>
      <c r="E38" s="324"/>
      <c r="F38" s="325"/>
      <c r="G38" s="337"/>
    </row>
    <row r="39" spans="1:7" ht="15.75">
      <c r="A39" s="329"/>
      <c r="B39" s="191"/>
      <c r="C39" s="6"/>
      <c r="D39" s="323"/>
      <c r="E39" s="324"/>
      <c r="F39" s="325"/>
      <c r="G39" s="337"/>
    </row>
    <row r="40" spans="1:7" ht="15.75">
      <c r="A40" s="329"/>
      <c r="B40" s="191"/>
      <c r="C40" s="6"/>
      <c r="D40" s="323"/>
      <c r="E40" s="324"/>
      <c r="F40" s="325"/>
      <c r="G40" s="337"/>
    </row>
    <row r="41" spans="1:7" ht="15.75">
      <c r="A41" s="329"/>
      <c r="B41" s="191"/>
      <c r="C41" s="6"/>
      <c r="D41" s="323"/>
      <c r="E41" s="324"/>
      <c r="F41" s="325"/>
      <c r="G41" s="337"/>
    </row>
    <row r="42" spans="1:7" ht="15.75">
      <c r="A42" s="329"/>
      <c r="B42" s="191"/>
      <c r="C42" s="6"/>
      <c r="D42" s="323"/>
      <c r="E42" s="324"/>
      <c r="F42" s="325"/>
      <c r="G42" s="337"/>
    </row>
    <row r="43" spans="1:7" ht="15.75">
      <c r="A43" s="329"/>
      <c r="B43" s="191"/>
      <c r="C43" s="6"/>
      <c r="D43" s="323"/>
      <c r="E43" s="324"/>
      <c r="F43" s="325"/>
      <c r="G43" s="337"/>
    </row>
    <row r="44" spans="1:7" ht="15.75">
      <c r="A44" s="329"/>
      <c r="B44" s="191"/>
      <c r="C44" s="6"/>
      <c r="D44" s="323"/>
      <c r="E44" s="324"/>
      <c r="F44" s="325"/>
      <c r="G44" s="337"/>
    </row>
    <row r="45" spans="1:7" ht="15.75">
      <c r="A45" s="329"/>
      <c r="B45" s="191"/>
      <c r="C45" s="6"/>
      <c r="D45" s="323"/>
      <c r="E45" s="324"/>
      <c r="F45" s="325"/>
      <c r="G45" s="337"/>
    </row>
    <row r="46" spans="1:7" ht="15.75">
      <c r="A46" s="329"/>
      <c r="B46" s="191"/>
      <c r="C46" s="6"/>
      <c r="D46" s="323"/>
      <c r="E46" s="324"/>
      <c r="F46" s="325"/>
      <c r="G46" s="337"/>
    </row>
    <row r="47" spans="1:7" ht="15.75">
      <c r="A47" s="329"/>
      <c r="B47" s="191"/>
      <c r="C47" s="6"/>
      <c r="D47" s="323"/>
      <c r="E47" s="324"/>
      <c r="F47" s="325"/>
      <c r="G47" s="337"/>
    </row>
    <row r="48" spans="1:7" ht="15.75">
      <c r="A48" s="329"/>
      <c r="B48" s="191"/>
      <c r="C48" s="6"/>
      <c r="D48" s="323"/>
      <c r="E48" s="324"/>
      <c r="F48" s="325"/>
      <c r="G48" s="337"/>
    </row>
    <row r="49" spans="1:7" ht="15.75">
      <c r="A49" s="329"/>
      <c r="B49" s="191"/>
      <c r="C49" s="6"/>
      <c r="D49" s="323"/>
      <c r="E49" s="324"/>
      <c r="F49" s="325"/>
      <c r="G49" s="337"/>
    </row>
    <row r="50" spans="1:7" ht="15.75">
      <c r="A50" s="329"/>
      <c r="B50" s="191"/>
      <c r="C50" s="6"/>
      <c r="D50" s="323"/>
      <c r="E50" s="324"/>
      <c r="F50" s="325"/>
      <c r="G50" s="337"/>
    </row>
    <row r="51" spans="1:7" ht="15.75">
      <c r="A51" s="329"/>
      <c r="B51" s="191"/>
      <c r="C51" s="6"/>
      <c r="D51" s="323"/>
      <c r="E51" s="324"/>
      <c r="F51" s="325"/>
      <c r="G51" s="337"/>
    </row>
    <row r="52" spans="1:7" ht="15.75">
      <c r="A52" s="329"/>
      <c r="B52" s="191"/>
      <c r="C52" s="6"/>
      <c r="D52" s="323"/>
      <c r="E52" s="324"/>
      <c r="F52" s="325"/>
      <c r="G52" s="337"/>
    </row>
    <row r="53" spans="1:7" ht="15.75">
      <c r="A53" s="329"/>
      <c r="B53" s="191"/>
      <c r="C53" s="6"/>
      <c r="D53" s="323"/>
      <c r="E53" s="324"/>
      <c r="F53" s="325"/>
      <c r="G53" s="337"/>
    </row>
    <row r="54" spans="1:7" ht="15.75">
      <c r="A54" s="329"/>
      <c r="B54" s="191"/>
      <c r="C54" s="6"/>
      <c r="D54" s="323"/>
      <c r="E54" s="324"/>
      <c r="F54" s="325"/>
      <c r="G54" s="337"/>
    </row>
    <row r="55" spans="1:7" ht="15.75">
      <c r="A55" s="329"/>
      <c r="B55" s="191"/>
      <c r="C55" s="6"/>
      <c r="D55" s="323"/>
      <c r="E55" s="324"/>
      <c r="F55" s="325"/>
      <c r="G55" s="337"/>
    </row>
    <row r="56" spans="1:7" ht="15.75">
      <c r="A56" s="329"/>
      <c r="B56" s="191"/>
      <c r="C56" s="6"/>
      <c r="D56" s="323"/>
      <c r="E56" s="324"/>
      <c r="F56" s="325"/>
      <c r="G56" s="337"/>
    </row>
    <row r="57" spans="1:7" ht="15.75">
      <c r="A57" s="329"/>
      <c r="B57" s="191"/>
      <c r="C57" s="6"/>
      <c r="D57" s="323"/>
      <c r="E57" s="324"/>
      <c r="F57" s="325"/>
      <c r="G57" s="337"/>
    </row>
    <row r="58" spans="1:7" ht="15.75">
      <c r="A58" s="329"/>
      <c r="B58" s="191"/>
      <c r="C58" s="6"/>
      <c r="D58" s="323"/>
      <c r="E58" s="324"/>
      <c r="F58" s="325"/>
      <c r="G58" s="337"/>
    </row>
    <row r="59" spans="1:7" ht="15.75">
      <c r="A59" s="329"/>
      <c r="B59" s="191"/>
      <c r="C59" s="6"/>
      <c r="D59" s="323"/>
      <c r="E59" s="324"/>
      <c r="F59" s="325"/>
      <c r="G59" s="337"/>
    </row>
    <row r="60" spans="1:7" ht="15.75">
      <c r="A60" s="329"/>
      <c r="B60" s="191"/>
      <c r="C60" s="6"/>
      <c r="D60" s="323"/>
      <c r="E60" s="324"/>
      <c r="F60" s="325"/>
      <c r="G60" s="337"/>
    </row>
    <row r="61" spans="1:7" ht="15.75">
      <c r="A61" s="329"/>
      <c r="B61" s="191"/>
      <c r="C61" s="6"/>
      <c r="D61" s="323"/>
      <c r="E61" s="324"/>
      <c r="F61" s="325"/>
      <c r="G61" s="337"/>
    </row>
    <row r="62" spans="1:7" ht="15.75">
      <c r="A62" s="329"/>
      <c r="B62" s="191"/>
      <c r="C62" s="6"/>
      <c r="D62" s="323"/>
      <c r="E62" s="324"/>
      <c r="F62" s="325"/>
      <c r="G62" s="337"/>
    </row>
    <row r="63" spans="1:7" ht="15.75">
      <c r="A63" s="329"/>
      <c r="B63" s="191"/>
      <c r="C63" s="6"/>
      <c r="D63" s="323"/>
      <c r="E63" s="324"/>
      <c r="F63" s="325"/>
      <c r="G63" s="337"/>
    </row>
    <row r="64" spans="1:7" ht="15.75">
      <c r="A64" s="329"/>
      <c r="B64" s="191"/>
      <c r="C64" s="6"/>
      <c r="D64" s="323"/>
      <c r="E64" s="324"/>
      <c r="F64" s="325"/>
      <c r="G64" s="337"/>
    </row>
    <row r="65" spans="1:7" ht="15.75">
      <c r="A65" s="329"/>
      <c r="B65" s="191"/>
      <c r="C65" s="6"/>
      <c r="D65" s="323"/>
      <c r="E65" s="324"/>
      <c r="F65" s="325"/>
      <c r="G65" s="337"/>
    </row>
    <row r="66" spans="1:7" ht="15.75">
      <c r="A66" s="329"/>
      <c r="B66" s="191"/>
      <c r="C66" s="6"/>
      <c r="D66" s="323"/>
      <c r="E66" s="324"/>
      <c r="F66" s="325"/>
      <c r="G66" s="337"/>
    </row>
    <row r="67" spans="1:7" ht="15.75">
      <c r="A67" s="329"/>
      <c r="B67" s="191"/>
      <c r="C67" s="6"/>
      <c r="D67" s="323"/>
      <c r="E67" s="324"/>
      <c r="F67" s="325"/>
      <c r="G67" s="337"/>
    </row>
    <row r="68" spans="1:7" ht="15.75">
      <c r="A68" s="329"/>
      <c r="B68" s="191"/>
      <c r="C68" s="6"/>
      <c r="D68" s="323"/>
      <c r="E68" s="324"/>
      <c r="F68" s="325"/>
      <c r="G68" s="337"/>
    </row>
    <row r="69" spans="1:7" ht="15.75">
      <c r="A69" s="329"/>
      <c r="B69" s="191"/>
      <c r="C69" s="6"/>
      <c r="D69" s="323"/>
      <c r="E69" s="324"/>
      <c r="F69" s="325"/>
      <c r="G69" s="337"/>
    </row>
    <row r="70" spans="1:7" ht="15.75">
      <c r="A70" s="329"/>
      <c r="B70" s="191"/>
      <c r="C70" s="6"/>
      <c r="D70" s="323"/>
      <c r="E70" s="324"/>
      <c r="F70" s="325"/>
      <c r="G70" s="337"/>
    </row>
    <row r="71" spans="1:7" ht="15.75">
      <c r="A71" s="329"/>
      <c r="B71" s="191"/>
      <c r="C71" s="6"/>
      <c r="D71" s="323"/>
      <c r="E71" s="324"/>
      <c r="F71" s="325"/>
      <c r="G71" s="337"/>
    </row>
    <row r="72" spans="1:7" ht="15.75">
      <c r="A72" s="329"/>
      <c r="B72" s="191"/>
      <c r="C72" s="6"/>
      <c r="D72" s="323"/>
      <c r="E72" s="324"/>
      <c r="F72" s="325"/>
      <c r="G72" s="337"/>
    </row>
    <row r="73" spans="1:7" ht="15.75">
      <c r="A73" s="329"/>
      <c r="B73" s="191"/>
      <c r="C73" s="6"/>
      <c r="D73" s="323"/>
      <c r="E73" s="324"/>
      <c r="F73" s="325"/>
      <c r="G73" s="337"/>
    </row>
    <row r="74" spans="1:7" ht="15.75">
      <c r="A74" s="329"/>
      <c r="B74" s="191"/>
      <c r="C74" s="6"/>
      <c r="D74" s="323"/>
      <c r="E74" s="324"/>
      <c r="F74" s="325"/>
      <c r="G74" s="337"/>
    </row>
    <row r="75" spans="1:7" ht="15.75">
      <c r="A75" s="329"/>
      <c r="B75" s="191"/>
      <c r="C75" s="6"/>
      <c r="D75" s="323"/>
      <c r="E75" s="324"/>
      <c r="F75" s="325"/>
      <c r="G75" s="337"/>
    </row>
    <row r="76" spans="1:7" ht="15.75">
      <c r="A76" s="329"/>
      <c r="B76" s="191"/>
      <c r="C76" s="6"/>
      <c r="D76" s="323"/>
      <c r="E76" s="324"/>
      <c r="F76" s="325"/>
      <c r="G76" s="337"/>
    </row>
    <row r="77" spans="1:7" ht="15.75">
      <c r="A77" s="329"/>
      <c r="B77" s="191"/>
      <c r="C77" s="6"/>
      <c r="D77" s="323"/>
      <c r="E77" s="324"/>
      <c r="F77" s="325"/>
      <c r="G77" s="337"/>
    </row>
    <row r="78" spans="1:7" ht="15.75">
      <c r="A78" s="329"/>
      <c r="B78" s="191"/>
      <c r="C78" s="6"/>
      <c r="D78" s="323"/>
      <c r="E78" s="324"/>
      <c r="F78" s="325"/>
      <c r="G78" s="337"/>
    </row>
    <row r="79" spans="1:7" ht="15.75">
      <c r="A79" s="329"/>
      <c r="B79" s="191"/>
      <c r="C79" s="6"/>
      <c r="D79" s="323"/>
      <c r="E79" s="324"/>
      <c r="F79" s="325"/>
      <c r="G79" s="337"/>
    </row>
    <row r="80" spans="1:7" ht="15.75">
      <c r="A80" s="329"/>
      <c r="B80" s="191"/>
      <c r="C80" s="6"/>
      <c r="D80" s="323"/>
      <c r="E80" s="324"/>
      <c r="F80" s="325"/>
      <c r="G80" s="337"/>
    </row>
    <row r="81" spans="1:7" ht="15.75">
      <c r="A81" s="329"/>
      <c r="B81" s="191"/>
      <c r="C81" s="6"/>
      <c r="D81" s="323"/>
      <c r="E81" s="324"/>
      <c r="F81" s="325"/>
      <c r="G81" s="337"/>
    </row>
    <row r="82" spans="1:7" ht="15.75">
      <c r="A82" s="329"/>
      <c r="B82" s="191"/>
      <c r="C82" s="6"/>
      <c r="D82" s="323"/>
      <c r="E82" s="324"/>
      <c r="F82" s="325"/>
      <c r="G82" s="337"/>
    </row>
    <row r="83" spans="1:7" ht="15.75">
      <c r="A83" s="329"/>
      <c r="B83" s="191"/>
      <c r="C83" s="6"/>
      <c r="D83" s="323"/>
      <c r="E83" s="324"/>
      <c r="F83" s="325"/>
      <c r="G83" s="337"/>
    </row>
    <row r="84" spans="1:7" ht="15.75">
      <c r="A84" s="329"/>
      <c r="B84" s="191"/>
      <c r="C84" s="6"/>
      <c r="D84" s="323"/>
      <c r="E84" s="324"/>
      <c r="F84" s="325"/>
      <c r="G84" s="337"/>
    </row>
    <row r="85" spans="1:7" ht="15.75">
      <c r="A85" s="329"/>
      <c r="B85" s="191"/>
      <c r="C85" s="6"/>
      <c r="D85" s="323"/>
      <c r="E85" s="324"/>
      <c r="F85" s="325"/>
      <c r="G85" s="337"/>
    </row>
    <row r="86" spans="1:7" ht="15.75">
      <c r="A86" s="329"/>
      <c r="B86" s="191"/>
      <c r="C86" s="6"/>
      <c r="D86" s="323"/>
      <c r="E86" s="324"/>
      <c r="F86" s="325"/>
      <c r="G86" s="337"/>
    </row>
    <row r="87" spans="1:7" ht="15.75">
      <c r="A87" s="329"/>
      <c r="B87" s="191"/>
      <c r="C87" s="6"/>
      <c r="D87" s="323"/>
      <c r="E87" s="324"/>
      <c r="F87" s="325"/>
      <c r="G87" s="337"/>
    </row>
    <row r="88" spans="1:7" ht="15.75">
      <c r="A88" s="329"/>
      <c r="B88" s="191"/>
      <c r="C88" s="6"/>
      <c r="D88" s="323"/>
      <c r="E88" s="324"/>
      <c r="F88" s="325"/>
      <c r="G88" s="337"/>
    </row>
    <row r="89" spans="1:7" ht="15.75">
      <c r="A89" s="329"/>
      <c r="B89" s="191"/>
      <c r="C89" s="6"/>
      <c r="D89" s="323"/>
      <c r="E89" s="324"/>
      <c r="F89" s="325"/>
      <c r="G89" s="337"/>
    </row>
    <row r="90" spans="1:7" ht="15.75">
      <c r="A90" s="329"/>
      <c r="B90" s="191"/>
      <c r="C90" s="6"/>
      <c r="D90" s="323"/>
      <c r="E90" s="324"/>
      <c r="F90" s="325"/>
      <c r="G90" s="337"/>
    </row>
    <row r="91" spans="1:7" ht="15.75">
      <c r="A91" s="329"/>
      <c r="B91" s="191"/>
      <c r="C91" s="6"/>
      <c r="D91" s="323"/>
      <c r="E91" s="324"/>
      <c r="F91" s="325"/>
      <c r="G91" s="337"/>
    </row>
    <row r="92" spans="1:7" ht="15.75">
      <c r="A92" s="329"/>
      <c r="B92" s="191"/>
      <c r="C92" s="6"/>
      <c r="D92" s="323"/>
      <c r="E92" s="324"/>
      <c r="F92" s="325"/>
      <c r="G92" s="337"/>
    </row>
    <row r="93" spans="1:7" ht="15.75">
      <c r="A93" s="329"/>
      <c r="B93" s="191"/>
      <c r="C93" s="6"/>
      <c r="D93" s="323"/>
      <c r="E93" s="324"/>
      <c r="F93" s="325"/>
      <c r="G93" s="337"/>
    </row>
    <row r="94" spans="1:7" ht="15.75">
      <c r="A94" s="329"/>
      <c r="B94" s="191"/>
      <c r="C94" s="6"/>
      <c r="D94" s="323"/>
      <c r="E94" s="324"/>
      <c r="F94" s="325"/>
      <c r="G94" s="337"/>
    </row>
    <row r="95" spans="1:7" ht="15.75">
      <c r="A95" s="329"/>
      <c r="B95" s="191"/>
      <c r="C95" s="6"/>
      <c r="D95" s="323"/>
      <c r="E95" s="324"/>
      <c r="F95" s="325"/>
      <c r="G95" s="337"/>
    </row>
    <row r="96" spans="1:7" ht="15.75">
      <c r="A96" s="329"/>
      <c r="B96" s="191"/>
      <c r="C96" s="6"/>
      <c r="D96" s="323"/>
      <c r="E96" s="324"/>
      <c r="F96" s="325"/>
      <c r="G96" s="337"/>
    </row>
    <row r="97" spans="1:7" ht="15.75">
      <c r="A97" s="329"/>
      <c r="B97" s="191"/>
      <c r="C97" s="6"/>
      <c r="D97" s="323"/>
      <c r="E97" s="324"/>
      <c r="F97" s="325"/>
      <c r="G97" s="337"/>
    </row>
    <row r="98" spans="1:7" ht="15.75">
      <c r="A98" s="329"/>
      <c r="B98" s="191"/>
      <c r="C98" s="6"/>
      <c r="D98" s="323"/>
      <c r="E98" s="324"/>
      <c r="F98" s="325"/>
      <c r="G98" s="337"/>
    </row>
    <row r="99" spans="1:7" ht="15.75">
      <c r="A99" s="329"/>
      <c r="B99" s="191"/>
      <c r="C99" s="6"/>
      <c r="D99" s="323"/>
      <c r="E99" s="324"/>
      <c r="F99" s="325"/>
      <c r="G99" s="337"/>
    </row>
    <row r="100" spans="1:7" ht="15.75">
      <c r="A100" s="329"/>
      <c r="B100" s="191"/>
      <c r="C100" s="6"/>
      <c r="D100" s="323"/>
      <c r="E100" s="324"/>
      <c r="F100" s="325"/>
      <c r="G100" s="337"/>
    </row>
    <row r="101" spans="1:7" ht="15.75">
      <c r="A101" s="329"/>
      <c r="B101" s="192"/>
      <c r="C101" s="58"/>
      <c r="D101" s="323"/>
      <c r="E101" s="324"/>
      <c r="F101" s="325"/>
      <c r="G101" s="337"/>
    </row>
    <row r="102" spans="1:7" ht="15.75">
      <c r="A102" s="329"/>
      <c r="B102" s="192"/>
      <c r="C102" s="58"/>
      <c r="D102" s="323"/>
      <c r="E102" s="324"/>
      <c r="F102" s="325"/>
      <c r="G102" s="337"/>
    </row>
    <row r="103" spans="1:7" ht="15.75">
      <c r="A103" s="329"/>
      <c r="B103" s="192"/>
      <c r="C103" s="58"/>
      <c r="D103" s="323"/>
      <c r="E103" s="324"/>
      <c r="F103" s="325"/>
      <c r="G103" s="337"/>
    </row>
    <row r="104" spans="1:7" ht="15.75">
      <c r="A104" s="329"/>
      <c r="B104" s="192"/>
      <c r="C104" s="58"/>
      <c r="D104" s="323"/>
      <c r="E104" s="324"/>
      <c r="F104" s="325"/>
      <c r="G104" s="337"/>
    </row>
    <row r="105" spans="1:7" ht="15.75">
      <c r="A105" s="329"/>
      <c r="B105" s="192"/>
      <c r="C105" s="58"/>
      <c r="D105" s="323"/>
      <c r="E105" s="324"/>
      <c r="F105" s="325"/>
      <c r="G105" s="337"/>
    </row>
    <row r="106" spans="1:7" ht="15.75">
      <c r="A106" s="329"/>
      <c r="B106" s="192"/>
      <c r="C106" s="58"/>
      <c r="D106" s="323"/>
      <c r="E106" s="324"/>
      <c r="F106" s="325"/>
      <c r="G106" s="337"/>
    </row>
    <row r="107" spans="1:7" ht="15.75">
      <c r="A107" s="329"/>
      <c r="B107" s="192"/>
      <c r="C107" s="58"/>
      <c r="D107" s="323"/>
      <c r="E107" s="324"/>
      <c r="F107" s="325"/>
      <c r="G107" s="337"/>
    </row>
    <row r="108" spans="1:7" ht="15.75">
      <c r="A108" s="329"/>
      <c r="B108" s="192"/>
      <c r="C108" s="58"/>
      <c r="D108" s="323"/>
      <c r="E108" s="324"/>
      <c r="F108" s="325"/>
      <c r="G108" s="337"/>
    </row>
    <row r="109" spans="1:7" ht="15.75">
      <c r="A109" s="329"/>
      <c r="B109" s="192"/>
      <c r="C109" s="58"/>
      <c r="D109" s="323"/>
      <c r="E109" s="324"/>
      <c r="F109" s="325"/>
      <c r="G109" s="337"/>
    </row>
    <row r="110" spans="1:7" ht="15.75">
      <c r="A110" s="329"/>
      <c r="B110" s="192"/>
      <c r="C110" s="58"/>
      <c r="D110" s="323"/>
      <c r="E110" s="324"/>
      <c r="F110" s="325"/>
      <c r="G110" s="337"/>
    </row>
    <row r="111" spans="1:7" ht="15.75">
      <c r="A111" s="329"/>
      <c r="B111" s="192"/>
      <c r="C111" s="58"/>
      <c r="D111" s="323"/>
      <c r="E111" s="324"/>
      <c r="F111" s="325"/>
      <c r="G111" s="337"/>
    </row>
    <row r="112" spans="1:7" ht="15.75">
      <c r="A112" s="329"/>
      <c r="B112" s="192"/>
      <c r="C112" s="58"/>
      <c r="D112" s="323"/>
      <c r="E112" s="324"/>
      <c r="F112" s="325"/>
      <c r="G112" s="337"/>
    </row>
    <row r="113" spans="1:7" ht="15.75">
      <c r="A113" s="329"/>
      <c r="B113" s="192"/>
      <c r="C113" s="58"/>
      <c r="D113" s="323"/>
      <c r="E113" s="324"/>
      <c r="F113" s="325"/>
      <c r="G113" s="337"/>
    </row>
    <row r="114" spans="1:7" ht="15.75">
      <c r="A114" s="329"/>
      <c r="B114" s="192"/>
      <c r="C114" s="58"/>
      <c r="D114" s="323"/>
      <c r="E114" s="324"/>
      <c r="F114" s="325"/>
      <c r="G114" s="337"/>
    </row>
    <row r="115" spans="1:7" ht="15.75">
      <c r="A115" s="329"/>
      <c r="B115" s="192"/>
      <c r="C115" s="58"/>
      <c r="D115" s="323"/>
      <c r="E115" s="324"/>
      <c r="F115" s="325"/>
      <c r="G115" s="337"/>
    </row>
    <row r="116" spans="1:7" ht="15.75">
      <c r="A116" s="329"/>
      <c r="B116" s="192"/>
      <c r="C116" s="58"/>
      <c r="D116" s="323"/>
      <c r="E116" s="324"/>
      <c r="F116" s="325"/>
      <c r="G116" s="337"/>
    </row>
    <row r="117" spans="1:7" ht="15.75">
      <c r="A117" s="329"/>
      <c r="B117" s="192"/>
      <c r="C117" s="58"/>
      <c r="D117" s="323"/>
      <c r="E117" s="324"/>
      <c r="F117" s="325"/>
      <c r="G117" s="337"/>
    </row>
    <row r="118" spans="1:7" ht="15.75">
      <c r="A118" s="329"/>
      <c r="B118" s="192"/>
      <c r="C118" s="58"/>
      <c r="D118" s="323"/>
      <c r="E118" s="324"/>
      <c r="F118" s="325"/>
      <c r="G118" s="337"/>
    </row>
    <row r="119" spans="1:7" ht="15.75">
      <c r="A119" s="329"/>
      <c r="B119" s="192"/>
      <c r="C119" s="58"/>
      <c r="D119" s="323"/>
      <c r="E119" s="324"/>
      <c r="F119" s="325"/>
      <c r="G119" s="337"/>
    </row>
    <row r="120" spans="1:7" ht="15.75">
      <c r="A120" s="329"/>
      <c r="B120" s="192"/>
      <c r="C120" s="58"/>
      <c r="D120" s="323"/>
      <c r="E120" s="324"/>
      <c r="F120" s="325"/>
      <c r="G120" s="337"/>
    </row>
    <row r="121" spans="1:7" ht="15.75">
      <c r="A121" s="329"/>
      <c r="B121" s="192"/>
      <c r="C121" s="58"/>
      <c r="D121" s="323"/>
      <c r="E121" s="324"/>
      <c r="F121" s="325"/>
      <c r="G121" s="337"/>
    </row>
    <row r="122" spans="1:7" ht="15.75">
      <c r="A122" s="329"/>
      <c r="B122" s="192"/>
      <c r="C122" s="58"/>
      <c r="D122" s="323"/>
      <c r="E122" s="324"/>
      <c r="F122" s="325"/>
      <c r="G122" s="337"/>
    </row>
    <row r="123" spans="1:7" ht="15.75">
      <c r="A123" s="329"/>
      <c r="B123" s="192"/>
      <c r="C123" s="58"/>
      <c r="D123" s="323"/>
      <c r="E123" s="324"/>
      <c r="F123" s="325"/>
      <c r="G123" s="337"/>
    </row>
    <row r="124" spans="1:7" ht="15.75">
      <c r="A124" s="329"/>
      <c r="B124" s="192"/>
      <c r="C124" s="58"/>
      <c r="D124" s="323"/>
      <c r="E124" s="324"/>
      <c r="F124" s="325"/>
      <c r="G124" s="337"/>
    </row>
    <row r="125" spans="1:7" ht="15.75">
      <c r="A125" s="329"/>
      <c r="B125" s="192"/>
      <c r="C125" s="58"/>
      <c r="D125" s="323"/>
      <c r="E125" s="324"/>
      <c r="F125" s="325"/>
      <c r="G125" s="337"/>
    </row>
    <row r="126" spans="1:7" ht="15.75">
      <c r="A126" s="329"/>
      <c r="B126" s="192"/>
      <c r="C126" s="58"/>
      <c r="D126" s="323"/>
      <c r="E126" s="324"/>
      <c r="F126" s="325"/>
      <c r="G126" s="337"/>
    </row>
    <row r="127" spans="1:7" ht="15.75">
      <c r="A127" s="329"/>
      <c r="B127" s="192"/>
      <c r="C127" s="58"/>
      <c r="D127" s="323"/>
      <c r="E127" s="324"/>
      <c r="F127" s="325"/>
      <c r="G127" s="337"/>
    </row>
    <row r="128" spans="1:7" ht="15.75">
      <c r="A128" s="329"/>
      <c r="B128" s="192"/>
      <c r="C128" s="58"/>
      <c r="D128" s="323"/>
      <c r="E128" s="324"/>
      <c r="F128" s="325"/>
      <c r="G128" s="337"/>
    </row>
    <row r="129" spans="1:7" ht="15.75">
      <c r="A129" s="329"/>
      <c r="B129" s="192"/>
      <c r="C129" s="58"/>
      <c r="D129" s="323"/>
      <c r="E129" s="324"/>
      <c r="F129" s="325"/>
      <c r="G129" s="337"/>
    </row>
    <row r="130" spans="1:7" ht="15.75">
      <c r="A130" s="329"/>
      <c r="B130" s="192"/>
      <c r="C130" s="58"/>
      <c r="D130" s="323"/>
      <c r="E130" s="324"/>
      <c r="F130" s="325"/>
      <c r="G130" s="337"/>
    </row>
    <row r="131" spans="1:7" ht="15.75">
      <c r="A131" s="329"/>
      <c r="B131" s="192"/>
      <c r="C131" s="58"/>
      <c r="D131" s="323"/>
      <c r="E131" s="324"/>
      <c r="F131" s="325"/>
      <c r="G131" s="337"/>
    </row>
    <row r="132" spans="1:7" ht="15.75">
      <c r="A132" s="329"/>
      <c r="B132" s="192"/>
      <c r="C132" s="58"/>
      <c r="D132" s="323"/>
      <c r="E132" s="324"/>
      <c r="F132" s="325"/>
      <c r="G132" s="337"/>
    </row>
    <row r="133" spans="1:7" ht="15.75">
      <c r="A133" s="329"/>
      <c r="B133" s="192"/>
      <c r="C133" s="58"/>
      <c r="D133" s="323"/>
      <c r="E133" s="324"/>
      <c r="F133" s="325"/>
      <c r="G133" s="337"/>
    </row>
    <row r="134" spans="1:7" ht="15.75">
      <c r="A134" s="329"/>
      <c r="B134" s="192"/>
      <c r="C134" s="58"/>
      <c r="D134" s="323"/>
      <c r="E134" s="324"/>
      <c r="F134" s="325"/>
      <c r="G134" s="337"/>
    </row>
    <row r="135" spans="1:7" ht="15.75">
      <c r="A135" s="329"/>
      <c r="B135" s="192"/>
      <c r="C135" s="58"/>
      <c r="D135" s="323"/>
      <c r="E135" s="324"/>
      <c r="F135" s="325"/>
      <c r="G135" s="337"/>
    </row>
    <row r="136" spans="1:7" ht="15.75">
      <c r="A136" s="329"/>
      <c r="B136" s="192"/>
      <c r="C136" s="58"/>
      <c r="D136" s="323"/>
      <c r="E136" s="324"/>
      <c r="F136" s="325"/>
      <c r="G136" s="337"/>
    </row>
    <row r="137" spans="1:7" ht="15.75">
      <c r="A137" s="329"/>
      <c r="B137" s="192"/>
      <c r="C137" s="58"/>
      <c r="D137" s="323"/>
      <c r="E137" s="324"/>
      <c r="F137" s="325"/>
      <c r="G137" s="337"/>
    </row>
    <row r="138" spans="1:7" ht="15.75">
      <c r="A138" s="329"/>
      <c r="B138" s="192"/>
      <c r="C138" s="58"/>
      <c r="D138" s="323"/>
      <c r="E138" s="324"/>
      <c r="F138" s="325"/>
      <c r="G138" s="337"/>
    </row>
    <row r="139" spans="1:7" ht="15.75">
      <c r="A139" s="329"/>
      <c r="B139" s="192"/>
      <c r="C139" s="58"/>
      <c r="D139" s="323"/>
      <c r="E139" s="324"/>
      <c r="F139" s="325"/>
      <c r="G139" s="337"/>
    </row>
    <row r="140" spans="1:7" ht="15.75">
      <c r="A140" s="329"/>
      <c r="B140" s="192"/>
      <c r="C140" s="58"/>
      <c r="D140" s="323"/>
      <c r="E140" s="324"/>
      <c r="F140" s="325"/>
      <c r="G140" s="337"/>
    </row>
    <row r="141" spans="1:7" ht="15.75">
      <c r="A141" s="329"/>
      <c r="B141" s="192"/>
      <c r="C141" s="58"/>
      <c r="D141" s="323"/>
      <c r="E141" s="324"/>
      <c r="F141" s="325"/>
      <c r="G141" s="337"/>
    </row>
    <row r="142" spans="1:7" ht="15.75">
      <c r="A142" s="329"/>
      <c r="B142" s="192"/>
      <c r="C142" s="58"/>
      <c r="D142" s="323"/>
      <c r="E142" s="324"/>
      <c r="F142" s="325"/>
      <c r="G142" s="337"/>
    </row>
    <row r="143" spans="1:7" ht="15.75">
      <c r="A143" s="329"/>
      <c r="B143" s="192"/>
      <c r="C143" s="58"/>
      <c r="D143" s="323"/>
      <c r="E143" s="324"/>
      <c r="F143" s="325"/>
      <c r="G143" s="337"/>
    </row>
    <row r="144" spans="1:7" ht="15.75">
      <c r="A144" s="329"/>
      <c r="B144" s="192"/>
      <c r="C144" s="58"/>
      <c r="D144" s="323"/>
      <c r="E144" s="324"/>
      <c r="F144" s="325"/>
      <c r="G144" s="337"/>
    </row>
    <row r="145" spans="1:7" ht="15.75">
      <c r="A145" s="329"/>
      <c r="B145" s="192"/>
      <c r="C145" s="58"/>
      <c r="D145" s="323"/>
      <c r="E145" s="324"/>
      <c r="F145" s="325"/>
      <c r="G145" s="337"/>
    </row>
    <row r="146" spans="1:7" ht="15.75">
      <c r="A146" s="329"/>
      <c r="B146" s="192"/>
      <c r="C146" s="58"/>
      <c r="D146" s="323"/>
      <c r="E146" s="324"/>
      <c r="F146" s="325"/>
      <c r="G146" s="337"/>
    </row>
    <row r="147" spans="1:7" ht="15.75">
      <c r="A147" s="329"/>
      <c r="B147" s="192"/>
      <c r="C147" s="58"/>
      <c r="D147" s="323"/>
      <c r="E147" s="324"/>
      <c r="F147" s="325"/>
      <c r="G147" s="337"/>
    </row>
    <row r="148" spans="1:7" ht="15.75">
      <c r="A148" s="329"/>
      <c r="B148" s="192"/>
      <c r="C148" s="58"/>
      <c r="D148" s="323"/>
      <c r="E148" s="324"/>
      <c r="F148" s="325"/>
      <c r="G148" s="337"/>
    </row>
    <row r="149" spans="1:7" ht="15.75">
      <c r="A149" s="329"/>
      <c r="B149" s="192"/>
      <c r="C149" s="58"/>
      <c r="D149" s="323"/>
      <c r="E149" s="324"/>
      <c r="F149" s="325"/>
      <c r="G149" s="337"/>
    </row>
    <row r="150" spans="1:7" ht="15.75">
      <c r="A150" s="329"/>
      <c r="B150" s="192"/>
      <c r="C150" s="58"/>
      <c r="D150" s="323"/>
      <c r="E150" s="324"/>
      <c r="F150" s="325"/>
      <c r="G150" s="337"/>
    </row>
    <row r="151" spans="1:7" ht="15.75">
      <c r="A151" s="329"/>
      <c r="B151" s="192"/>
      <c r="C151" s="58"/>
      <c r="D151" s="323"/>
      <c r="E151" s="324"/>
      <c r="F151" s="325"/>
      <c r="G151" s="337"/>
    </row>
    <row r="152" spans="1:7" ht="15.75">
      <c r="A152" s="329"/>
      <c r="B152" s="192"/>
      <c r="C152" s="58"/>
      <c r="D152" s="323"/>
      <c r="E152" s="324"/>
      <c r="F152" s="325"/>
      <c r="G152" s="337"/>
    </row>
    <row r="153" spans="1:7" ht="15.75">
      <c r="A153" s="329"/>
      <c r="B153" s="192"/>
      <c r="C153" s="58"/>
      <c r="D153" s="323"/>
      <c r="E153" s="324"/>
      <c r="F153" s="325"/>
      <c r="G153" s="337"/>
    </row>
    <row r="154" spans="1:7" ht="15.75">
      <c r="A154" s="329"/>
      <c r="B154" s="192"/>
      <c r="C154" s="58"/>
      <c r="D154" s="323"/>
      <c r="E154" s="324"/>
      <c r="F154" s="325"/>
      <c r="G154" s="337"/>
    </row>
    <row r="155" spans="1:7" ht="15.75">
      <c r="A155" s="329"/>
      <c r="B155" s="192"/>
      <c r="C155" s="58"/>
      <c r="D155" s="323"/>
      <c r="E155" s="324"/>
      <c r="F155" s="325"/>
      <c r="G155" s="337"/>
    </row>
    <row r="156" spans="1:7" ht="15.75">
      <c r="A156" s="329"/>
      <c r="B156" s="192"/>
      <c r="C156" s="58"/>
      <c r="D156" s="323"/>
      <c r="E156" s="324"/>
      <c r="F156" s="325"/>
      <c r="G156" s="337"/>
    </row>
    <row r="157" spans="1:7" ht="15.75">
      <c r="A157" s="329"/>
      <c r="B157" s="192"/>
      <c r="C157" s="58"/>
      <c r="D157" s="323"/>
      <c r="E157" s="324"/>
      <c r="F157" s="325"/>
      <c r="G157" s="337"/>
    </row>
    <row r="158" spans="1:7" ht="15.75">
      <c r="A158" s="329"/>
      <c r="B158" s="192"/>
      <c r="C158" s="58"/>
      <c r="D158" s="323"/>
      <c r="E158" s="324"/>
      <c r="F158" s="325"/>
      <c r="G158" s="337"/>
    </row>
    <row r="159" spans="1:7" ht="15.75">
      <c r="A159" s="329"/>
      <c r="B159" s="192"/>
      <c r="C159" s="58"/>
      <c r="D159" s="323"/>
      <c r="E159" s="324"/>
      <c r="F159" s="325"/>
      <c r="G159" s="337"/>
    </row>
    <row r="160" spans="1:7" ht="15.75">
      <c r="A160" s="329"/>
      <c r="B160" s="192"/>
      <c r="C160" s="58"/>
      <c r="D160" s="323"/>
      <c r="E160" s="324"/>
      <c r="F160" s="325"/>
      <c r="G160" s="337"/>
    </row>
    <row r="161" spans="1:7" ht="15.75">
      <c r="A161" s="329"/>
      <c r="B161" s="192"/>
      <c r="C161" s="58"/>
      <c r="D161" s="323"/>
      <c r="E161" s="324"/>
      <c r="F161" s="325"/>
      <c r="G161" s="337"/>
    </row>
    <row r="162" spans="1:7" ht="15.75">
      <c r="A162" s="329"/>
      <c r="B162" s="192"/>
      <c r="C162" s="58"/>
      <c r="D162" s="323"/>
      <c r="E162" s="324"/>
      <c r="F162" s="325"/>
      <c r="G162" s="337"/>
    </row>
    <row r="163" spans="1:7" ht="15.75">
      <c r="A163" s="329"/>
      <c r="B163" s="192"/>
      <c r="C163" s="58"/>
      <c r="D163" s="323"/>
      <c r="E163" s="324"/>
      <c r="F163" s="325"/>
      <c r="G163" s="337"/>
    </row>
    <row r="164" spans="1:7" ht="15.75">
      <c r="A164" s="329"/>
      <c r="B164" s="192"/>
      <c r="C164" s="58"/>
      <c r="D164" s="323"/>
      <c r="E164" s="324"/>
      <c r="F164" s="325"/>
      <c r="G164" s="337"/>
    </row>
    <row r="165" spans="1:7" ht="15.75">
      <c r="A165" s="329"/>
      <c r="B165" s="192"/>
      <c r="C165" s="58"/>
      <c r="D165" s="323"/>
      <c r="E165" s="324"/>
      <c r="F165" s="325"/>
      <c r="G165" s="337"/>
    </row>
    <row r="166" spans="1:7" ht="15.75">
      <c r="A166" s="329"/>
      <c r="B166" s="192"/>
      <c r="C166" s="58"/>
      <c r="D166" s="323"/>
      <c r="E166" s="324"/>
      <c r="F166" s="325"/>
      <c r="G166" s="337"/>
    </row>
    <row r="167" spans="1:7" ht="15.75">
      <c r="A167" s="329"/>
      <c r="B167" s="192"/>
      <c r="C167" s="58"/>
      <c r="D167" s="323"/>
      <c r="E167" s="324"/>
      <c r="F167" s="325"/>
      <c r="G167" s="337"/>
    </row>
    <row r="168" spans="1:7" ht="15.75">
      <c r="A168" s="329"/>
      <c r="B168" s="192"/>
      <c r="C168" s="58"/>
      <c r="D168" s="323"/>
      <c r="E168" s="324"/>
      <c r="F168" s="325"/>
      <c r="G168" s="337"/>
    </row>
    <row r="169" spans="1:7" ht="15.75">
      <c r="A169" s="329"/>
      <c r="B169" s="192"/>
      <c r="C169" s="58"/>
      <c r="D169" s="323"/>
      <c r="E169" s="324"/>
      <c r="F169" s="325"/>
      <c r="G169" s="337"/>
    </row>
    <row r="170" spans="1:7" ht="15.75">
      <c r="A170" s="329"/>
      <c r="B170" s="192"/>
      <c r="C170" s="58"/>
      <c r="D170" s="323"/>
      <c r="E170" s="324"/>
      <c r="F170" s="325"/>
      <c r="G170" s="337"/>
    </row>
    <row r="171" spans="1:7" ht="15.75">
      <c r="A171" s="329"/>
      <c r="B171" s="192"/>
      <c r="C171" s="58"/>
      <c r="D171" s="323"/>
      <c r="E171" s="324"/>
      <c r="F171" s="325"/>
      <c r="G171" s="337"/>
    </row>
    <row r="172" spans="1:7" ht="15.75">
      <c r="A172" s="329"/>
      <c r="B172" s="192"/>
      <c r="C172" s="58"/>
      <c r="D172" s="323"/>
      <c r="E172" s="324"/>
      <c r="F172" s="325"/>
      <c r="G172" s="337"/>
    </row>
    <row r="173" spans="1:7" ht="15.75">
      <c r="A173" s="329"/>
      <c r="B173" s="192"/>
      <c r="C173" s="58"/>
      <c r="D173" s="323"/>
      <c r="E173" s="324"/>
      <c r="F173" s="325"/>
      <c r="G173" s="337"/>
    </row>
    <row r="174" spans="1:7" ht="15.75">
      <c r="A174" s="329"/>
      <c r="B174" s="192"/>
      <c r="C174" s="58"/>
      <c r="D174" s="323"/>
      <c r="E174" s="324"/>
      <c r="F174" s="325"/>
      <c r="G174" s="337"/>
    </row>
    <row r="175" spans="1:7" ht="15.75">
      <c r="A175" s="329"/>
      <c r="B175" s="192"/>
      <c r="C175" s="58"/>
      <c r="D175" s="323"/>
      <c r="E175" s="324"/>
      <c r="F175" s="325"/>
      <c r="G175" s="337"/>
    </row>
    <row r="176" spans="1:7" ht="15.75">
      <c r="A176" s="329"/>
      <c r="B176" s="192"/>
      <c r="C176" s="58"/>
      <c r="D176" s="323"/>
      <c r="E176" s="324"/>
      <c r="F176" s="325"/>
      <c r="G176" s="337"/>
    </row>
    <row r="177" spans="1:7" ht="15.75">
      <c r="A177" s="329"/>
      <c r="B177" s="192"/>
      <c r="C177" s="58"/>
      <c r="D177" s="323"/>
      <c r="E177" s="324"/>
      <c r="F177" s="325"/>
      <c r="G177" s="337"/>
    </row>
    <row r="178" spans="1:7" ht="15.75">
      <c r="A178" s="329"/>
      <c r="B178" s="192"/>
      <c r="C178" s="58"/>
      <c r="D178" s="323"/>
      <c r="E178" s="324"/>
      <c r="F178" s="325"/>
      <c r="G178" s="337"/>
    </row>
    <row r="179" spans="1:7" ht="15.75">
      <c r="A179" s="329"/>
      <c r="B179" s="192"/>
      <c r="C179" s="58"/>
      <c r="D179" s="323"/>
      <c r="E179" s="324"/>
      <c r="F179" s="325"/>
      <c r="G179" s="337"/>
    </row>
    <row r="180" spans="1:7" ht="15.75">
      <c r="A180" s="329"/>
      <c r="B180" s="192"/>
      <c r="C180" s="58"/>
      <c r="D180" s="323"/>
      <c r="E180" s="324"/>
      <c r="F180" s="325"/>
      <c r="G180" s="337"/>
    </row>
    <row r="181" spans="1:7" ht="15.75">
      <c r="A181" s="329"/>
      <c r="B181" s="192"/>
      <c r="C181" s="58"/>
      <c r="D181" s="323"/>
      <c r="E181" s="324"/>
      <c r="F181" s="325"/>
      <c r="G181" s="337"/>
    </row>
    <row r="182" spans="1:7" ht="15.75">
      <c r="A182" s="329"/>
      <c r="B182" s="192"/>
      <c r="C182" s="58"/>
      <c r="D182" s="323"/>
      <c r="E182" s="324"/>
      <c r="F182" s="325"/>
      <c r="G182" s="337"/>
    </row>
    <row r="183" spans="1:7" ht="15.75">
      <c r="A183" s="329"/>
      <c r="B183" s="192"/>
      <c r="C183" s="58"/>
      <c r="D183" s="323"/>
      <c r="E183" s="324"/>
      <c r="F183" s="325"/>
      <c r="G183" s="337"/>
    </row>
    <row r="184" spans="1:7" ht="15.75">
      <c r="A184" s="329"/>
      <c r="B184" s="192"/>
      <c r="C184" s="58"/>
      <c r="D184" s="323"/>
      <c r="E184" s="324"/>
      <c r="F184" s="325"/>
      <c r="G184" s="337"/>
    </row>
    <row r="185" spans="1:7" ht="15.75">
      <c r="A185" s="329"/>
      <c r="B185" s="192"/>
      <c r="C185" s="58"/>
      <c r="D185" s="323"/>
      <c r="E185" s="324"/>
      <c r="F185" s="325"/>
      <c r="G185" s="337"/>
    </row>
    <row r="186" spans="1:7" ht="15.75">
      <c r="A186" s="329"/>
      <c r="B186" s="192"/>
      <c r="C186" s="58"/>
      <c r="D186" s="323"/>
      <c r="E186" s="324"/>
      <c r="F186" s="325"/>
      <c r="G186" s="337"/>
    </row>
    <row r="187" spans="1:7" ht="15.75">
      <c r="A187" s="329"/>
      <c r="B187" s="192"/>
      <c r="C187" s="58"/>
      <c r="D187" s="323"/>
      <c r="E187" s="324"/>
      <c r="F187" s="325"/>
      <c r="G187" s="337"/>
    </row>
    <row r="188" spans="1:7" ht="15.75">
      <c r="A188" s="329"/>
      <c r="B188" s="192"/>
      <c r="C188" s="58"/>
      <c r="D188" s="323"/>
      <c r="E188" s="324"/>
      <c r="F188" s="325"/>
      <c r="G188" s="337"/>
    </row>
    <row r="189" spans="1:7" ht="15.75">
      <c r="A189" s="329"/>
      <c r="B189" s="192"/>
      <c r="C189" s="58"/>
      <c r="D189" s="323"/>
      <c r="E189" s="324"/>
      <c r="F189" s="325"/>
      <c r="G189" s="337"/>
    </row>
    <row r="190" spans="1:7" ht="15.75">
      <c r="A190" s="329"/>
      <c r="B190" s="192"/>
      <c r="C190" s="58"/>
      <c r="D190" s="323"/>
      <c r="E190" s="324"/>
      <c r="F190" s="325"/>
      <c r="G190" s="337"/>
    </row>
    <row r="191" spans="1:7" ht="15.75">
      <c r="A191" s="329"/>
      <c r="B191" s="192"/>
      <c r="C191" s="58"/>
      <c r="D191" s="323"/>
      <c r="E191" s="324"/>
      <c r="F191" s="325"/>
      <c r="G191" s="337"/>
    </row>
    <row r="192" spans="1:7" ht="15.75">
      <c r="A192" s="329"/>
      <c r="B192" s="192"/>
      <c r="C192" s="58"/>
      <c r="D192" s="323"/>
      <c r="E192" s="324"/>
      <c r="F192" s="325"/>
      <c r="G192" s="337"/>
    </row>
    <row r="193" spans="1:7" ht="15.75">
      <c r="A193" s="329"/>
      <c r="B193" s="192"/>
      <c r="C193" s="58"/>
      <c r="D193" s="323"/>
      <c r="E193" s="324"/>
      <c r="F193" s="325"/>
      <c r="G193" s="337"/>
    </row>
    <row r="194" spans="1:7" ht="15.75">
      <c r="A194" s="329"/>
      <c r="B194" s="192"/>
      <c r="C194" s="58"/>
      <c r="D194" s="323"/>
      <c r="E194" s="324"/>
      <c r="F194" s="325"/>
      <c r="G194" s="337"/>
    </row>
    <row r="195" spans="1:7" ht="15.75">
      <c r="A195" s="329"/>
      <c r="B195" s="192"/>
      <c r="C195" s="58"/>
      <c r="D195" s="323"/>
      <c r="E195" s="324"/>
      <c r="F195" s="325"/>
      <c r="G195" s="337"/>
    </row>
    <row r="196" spans="1:7" ht="15.75">
      <c r="A196" s="329"/>
      <c r="B196" s="192"/>
      <c r="C196" s="58"/>
      <c r="D196" s="323"/>
      <c r="E196" s="324"/>
      <c r="F196" s="325"/>
      <c r="G196" s="337"/>
    </row>
    <row r="197" spans="1:7" ht="15.75">
      <c r="A197" s="329"/>
      <c r="B197" s="192"/>
      <c r="C197" s="58"/>
      <c r="D197" s="323"/>
      <c r="E197" s="324"/>
      <c r="F197" s="325"/>
      <c r="G197" s="337"/>
    </row>
    <row r="198" spans="1:7" ht="15.75">
      <c r="A198" s="329"/>
      <c r="B198" s="192"/>
      <c r="C198" s="58"/>
      <c r="D198" s="323"/>
      <c r="E198" s="324"/>
      <c r="F198" s="325"/>
      <c r="G198" s="337"/>
    </row>
    <row r="199" spans="1:7" ht="15.75">
      <c r="A199" s="329"/>
      <c r="B199" s="192"/>
      <c r="C199" s="58"/>
      <c r="D199" s="323"/>
      <c r="E199" s="324"/>
      <c r="F199" s="325"/>
      <c r="G199" s="337"/>
    </row>
    <row r="200" spans="1:7" ht="15.75">
      <c r="A200" s="329"/>
      <c r="B200" s="192"/>
      <c r="C200" s="58"/>
      <c r="D200" s="323"/>
      <c r="E200" s="324"/>
      <c r="F200" s="325"/>
      <c r="G200" s="337"/>
    </row>
    <row r="201" spans="1:7" ht="15.75">
      <c r="A201" s="329"/>
      <c r="B201" s="192"/>
      <c r="C201" s="58"/>
      <c r="D201" s="323"/>
      <c r="E201" s="324"/>
      <c r="F201" s="325"/>
      <c r="G201" s="337"/>
    </row>
    <row r="202" spans="1:7" ht="15.75">
      <c r="A202" s="329"/>
      <c r="B202" s="192"/>
      <c r="C202" s="58"/>
      <c r="D202" s="323"/>
      <c r="E202" s="324"/>
      <c r="F202" s="325"/>
      <c r="G202" s="337"/>
    </row>
    <row r="203" spans="1:7" ht="15.75">
      <c r="A203" s="329"/>
      <c r="B203" s="192"/>
      <c r="C203" s="58"/>
      <c r="D203" s="323"/>
      <c r="E203" s="324"/>
      <c r="F203" s="325"/>
      <c r="G203" s="337"/>
    </row>
    <row r="204" spans="1:7" ht="15.75">
      <c r="A204" s="329"/>
      <c r="B204" s="192"/>
      <c r="C204" s="58"/>
      <c r="D204" s="323"/>
      <c r="E204" s="324"/>
      <c r="F204" s="325"/>
      <c r="G204" s="337"/>
    </row>
    <row r="205" spans="1:7" ht="15.75">
      <c r="A205" s="329"/>
      <c r="B205" s="192"/>
      <c r="C205" s="58"/>
      <c r="D205" s="323"/>
      <c r="E205" s="324"/>
      <c r="F205" s="325"/>
      <c r="G205" s="337"/>
    </row>
    <row r="206" spans="1:7" ht="15.75">
      <c r="A206" s="329"/>
      <c r="B206" s="192"/>
      <c r="C206" s="58"/>
      <c r="D206" s="323"/>
      <c r="E206" s="324"/>
      <c r="F206" s="325"/>
      <c r="G206" s="337"/>
    </row>
    <row r="207" spans="1:7" ht="15.75">
      <c r="A207" s="329"/>
      <c r="B207" s="192"/>
      <c r="C207" s="58"/>
      <c r="D207" s="323"/>
      <c r="E207" s="324"/>
      <c r="F207" s="325"/>
      <c r="G207" s="337"/>
    </row>
    <row r="208" spans="1:7" ht="15.75">
      <c r="A208" s="329"/>
      <c r="B208" s="192"/>
      <c r="C208" s="58"/>
      <c r="D208" s="323"/>
      <c r="E208" s="324"/>
      <c r="F208" s="325"/>
      <c r="G208" s="337"/>
    </row>
    <row r="209" spans="1:7" ht="15.75">
      <c r="A209" s="329"/>
      <c r="B209" s="192"/>
      <c r="C209" s="58"/>
      <c r="D209" s="323"/>
      <c r="E209" s="324"/>
      <c r="F209" s="325"/>
      <c r="G209" s="337"/>
    </row>
    <row r="210" spans="1:7" ht="15.75">
      <c r="A210" s="329"/>
      <c r="B210" s="192"/>
      <c r="C210" s="58"/>
      <c r="D210" s="323"/>
      <c r="E210" s="324"/>
      <c r="F210" s="325"/>
      <c r="G210" s="337"/>
    </row>
    <row r="211" spans="1:7" ht="15.75">
      <c r="A211" s="329"/>
      <c r="B211" s="192"/>
      <c r="C211" s="58"/>
      <c r="D211" s="323"/>
      <c r="E211" s="324"/>
      <c r="F211" s="325"/>
      <c r="G211" s="337"/>
    </row>
    <row r="212" spans="1:7" ht="15.75">
      <c r="A212" s="329"/>
      <c r="B212" s="192"/>
      <c r="C212" s="58"/>
      <c r="D212" s="323"/>
      <c r="E212" s="324"/>
      <c r="F212" s="325"/>
      <c r="G212" s="337"/>
    </row>
    <row r="213" spans="1:7" ht="15.75">
      <c r="A213" s="329"/>
      <c r="B213" s="192"/>
      <c r="C213" s="58"/>
      <c r="D213" s="323"/>
      <c r="E213" s="324"/>
      <c r="F213" s="325"/>
      <c r="G213" s="337"/>
    </row>
    <row r="214" spans="1:7" ht="15.75">
      <c r="A214" s="329"/>
      <c r="B214" s="192"/>
      <c r="C214" s="58"/>
      <c r="D214" s="323"/>
      <c r="E214" s="324"/>
      <c r="F214" s="325"/>
      <c r="G214" s="337"/>
    </row>
    <row r="215" spans="1:7" ht="15.75">
      <c r="A215" s="329"/>
      <c r="B215" s="192"/>
      <c r="C215" s="58"/>
      <c r="D215" s="323"/>
      <c r="E215" s="324"/>
      <c r="F215" s="325"/>
      <c r="G215" s="337"/>
    </row>
    <row r="216" spans="1:7" ht="15.75">
      <c r="A216" s="329"/>
      <c r="B216" s="192"/>
      <c r="C216" s="58"/>
      <c r="D216" s="323"/>
      <c r="E216" s="324"/>
      <c r="F216" s="325"/>
      <c r="G216" s="337"/>
    </row>
    <row r="217" spans="1:7" ht="15.75">
      <c r="A217" s="329"/>
      <c r="B217" s="192"/>
      <c r="C217" s="58"/>
      <c r="D217" s="323"/>
      <c r="E217" s="324"/>
      <c r="F217" s="325"/>
      <c r="G217" s="337"/>
    </row>
    <row r="218" spans="1:7" ht="15.75">
      <c r="A218" s="329"/>
      <c r="B218" s="192"/>
      <c r="C218" s="58"/>
      <c r="D218" s="323"/>
      <c r="E218" s="324"/>
      <c r="F218" s="325"/>
      <c r="G218" s="337"/>
    </row>
    <row r="219" spans="1:7" ht="15.75">
      <c r="A219" s="329"/>
      <c r="B219" s="192"/>
      <c r="C219" s="58"/>
      <c r="D219" s="323"/>
      <c r="E219" s="324"/>
      <c r="F219" s="325"/>
      <c r="G219" s="337"/>
    </row>
    <row r="220" spans="1:7" ht="15.75">
      <c r="A220" s="329"/>
      <c r="B220" s="192"/>
      <c r="C220" s="58"/>
      <c r="D220" s="323"/>
      <c r="E220" s="324"/>
      <c r="F220" s="325"/>
      <c r="G220" s="337"/>
    </row>
    <row r="221" spans="1:7" ht="15.75">
      <c r="A221" s="329"/>
      <c r="B221" s="192"/>
      <c r="C221" s="58"/>
      <c r="D221" s="323"/>
      <c r="E221" s="324"/>
      <c r="F221" s="325"/>
      <c r="G221" s="337"/>
    </row>
    <row r="222" spans="1:7" ht="15.75">
      <c r="A222" s="329"/>
      <c r="B222" s="192"/>
      <c r="C222" s="58"/>
      <c r="D222" s="323"/>
      <c r="E222" s="324"/>
      <c r="F222" s="325"/>
      <c r="G222" s="337"/>
    </row>
    <row r="223" spans="1:7" ht="15.75">
      <c r="A223" s="329"/>
      <c r="B223" s="192"/>
      <c r="C223" s="58"/>
      <c r="D223" s="323"/>
      <c r="E223" s="324"/>
      <c r="F223" s="325"/>
      <c r="G223" s="337"/>
    </row>
    <row r="224" spans="1:7" ht="15.75">
      <c r="A224" s="329"/>
      <c r="B224" s="192"/>
      <c r="C224" s="58"/>
      <c r="D224" s="323"/>
      <c r="E224" s="324"/>
      <c r="F224" s="325"/>
      <c r="G224" s="337"/>
    </row>
    <row r="225" spans="1:7" ht="15.75">
      <c r="A225" s="329"/>
      <c r="B225" s="192"/>
      <c r="C225" s="58"/>
      <c r="D225" s="323"/>
      <c r="E225" s="324"/>
      <c r="F225" s="325"/>
      <c r="G225" s="337"/>
    </row>
    <row r="226" spans="1:7" ht="15.75">
      <c r="A226" s="329"/>
      <c r="B226" s="192"/>
      <c r="C226" s="58"/>
      <c r="D226" s="323"/>
      <c r="E226" s="324"/>
      <c r="F226" s="325"/>
      <c r="G226" s="337"/>
    </row>
    <row r="227" spans="1:7" ht="15.75">
      <c r="A227" s="329"/>
      <c r="B227" s="192"/>
      <c r="C227" s="58"/>
      <c r="D227" s="323"/>
      <c r="E227" s="324"/>
      <c r="F227" s="325"/>
      <c r="G227" s="337"/>
    </row>
    <row r="228" spans="1:7" ht="15.75">
      <c r="A228" s="329"/>
      <c r="B228" s="192"/>
      <c r="C228" s="58"/>
      <c r="D228" s="323"/>
      <c r="E228" s="324"/>
      <c r="F228" s="325"/>
      <c r="G228" s="337"/>
    </row>
    <row r="229" spans="1:7" ht="15.75">
      <c r="A229" s="329"/>
      <c r="B229" s="192"/>
      <c r="C229" s="58"/>
      <c r="D229" s="323"/>
      <c r="E229" s="324"/>
      <c r="F229" s="325"/>
      <c r="G229" s="337"/>
    </row>
    <row r="230" spans="1:7" ht="15.75">
      <c r="A230" s="329"/>
      <c r="B230" s="192"/>
      <c r="C230" s="58"/>
      <c r="D230" s="323"/>
      <c r="E230" s="324"/>
      <c r="F230" s="325"/>
      <c r="G230" s="337"/>
    </row>
    <row r="231" spans="1:7" ht="15.75">
      <c r="A231" s="329"/>
      <c r="B231" s="192"/>
      <c r="C231" s="58"/>
      <c r="D231" s="323"/>
      <c r="E231" s="324"/>
      <c r="F231" s="325"/>
      <c r="G231" s="337"/>
    </row>
    <row r="232" spans="1:7" ht="15.75">
      <c r="A232" s="329"/>
      <c r="B232" s="192"/>
      <c r="C232" s="58"/>
      <c r="D232" s="323"/>
      <c r="E232" s="324"/>
      <c r="F232" s="325"/>
      <c r="G232" s="337"/>
    </row>
    <row r="233" spans="1:7" ht="15.75">
      <c r="A233" s="329"/>
      <c r="B233" s="192"/>
      <c r="C233" s="58"/>
      <c r="D233" s="323"/>
      <c r="E233" s="324"/>
      <c r="F233" s="325"/>
      <c r="G233" s="337"/>
    </row>
    <row r="234" spans="1:7" ht="15.75">
      <c r="A234" s="329"/>
      <c r="B234" s="192"/>
      <c r="C234" s="58"/>
      <c r="D234" s="323"/>
      <c r="E234" s="324"/>
      <c r="F234" s="325"/>
      <c r="G234" s="337"/>
    </row>
    <row r="235" spans="1:7" ht="15.75">
      <c r="A235" s="329"/>
      <c r="B235" s="192"/>
      <c r="C235" s="58"/>
      <c r="D235" s="323"/>
      <c r="E235" s="324"/>
      <c r="F235" s="325"/>
      <c r="G235" s="337"/>
    </row>
    <row r="236" spans="1:7" ht="15.75">
      <c r="A236" s="329"/>
      <c r="B236" s="192"/>
      <c r="C236" s="58"/>
      <c r="D236" s="323"/>
      <c r="E236" s="324"/>
      <c r="F236" s="325"/>
      <c r="G236" s="337"/>
    </row>
    <row r="237" spans="1:7" ht="15.75">
      <c r="A237" s="329"/>
      <c r="B237" s="192"/>
      <c r="C237" s="58"/>
      <c r="D237" s="323"/>
      <c r="E237" s="324"/>
      <c r="F237" s="325"/>
      <c r="G237" s="337"/>
    </row>
    <row r="238" spans="1:7" ht="15.75">
      <c r="A238" s="329"/>
      <c r="B238" s="192"/>
      <c r="C238" s="58"/>
      <c r="D238" s="323"/>
      <c r="E238" s="324"/>
      <c r="F238" s="325"/>
      <c r="G238" s="337"/>
    </row>
    <row r="239" spans="1:7" ht="15.75">
      <c r="A239" s="329"/>
      <c r="B239" s="192"/>
      <c r="C239" s="58"/>
      <c r="D239" s="323"/>
      <c r="E239" s="324"/>
      <c r="F239" s="325"/>
      <c r="G239" s="337"/>
    </row>
    <row r="240" spans="1:7" ht="15.75">
      <c r="A240" s="329"/>
      <c r="B240" s="192"/>
      <c r="C240" s="58"/>
      <c r="D240" s="323"/>
      <c r="E240" s="324"/>
      <c r="F240" s="325"/>
      <c r="G240" s="337"/>
    </row>
    <row r="241" spans="1:7" ht="15.75">
      <c r="A241" s="329"/>
      <c r="B241" s="192"/>
      <c r="C241" s="58"/>
      <c r="D241" s="323"/>
      <c r="E241" s="324"/>
      <c r="F241" s="325"/>
      <c r="G241" s="337"/>
    </row>
    <row r="242" spans="1:7" ht="15.75">
      <c r="A242" s="329"/>
      <c r="B242" s="192"/>
      <c r="C242" s="58"/>
      <c r="D242" s="323"/>
      <c r="E242" s="324"/>
      <c r="F242" s="325"/>
      <c r="G242" s="337"/>
    </row>
    <row r="243" spans="1:7" ht="15.75">
      <c r="A243" s="329"/>
      <c r="B243" s="192"/>
      <c r="C243" s="58"/>
      <c r="D243" s="323"/>
      <c r="E243" s="324"/>
      <c r="F243" s="325"/>
      <c r="G243" s="337"/>
    </row>
    <row r="244" spans="1:7" ht="15.75">
      <c r="A244" s="329"/>
      <c r="B244" s="192"/>
      <c r="C244" s="58"/>
      <c r="D244" s="323"/>
      <c r="E244" s="324"/>
      <c r="F244" s="325"/>
      <c r="G244" s="337"/>
    </row>
    <row r="245" spans="1:7" ht="15.75">
      <c r="A245" s="329"/>
      <c r="B245" s="192"/>
      <c r="C245" s="58"/>
      <c r="D245" s="323"/>
      <c r="E245" s="324"/>
      <c r="F245" s="325"/>
      <c r="G245" s="337"/>
    </row>
    <row r="246" spans="1:7" ht="15.75">
      <c r="A246" s="329"/>
      <c r="B246" s="192"/>
      <c r="C246" s="58"/>
      <c r="D246" s="323"/>
      <c r="E246" s="324"/>
      <c r="F246" s="325"/>
      <c r="G246" s="337"/>
    </row>
    <row r="247" spans="1:7" ht="15.75">
      <c r="A247" s="329"/>
      <c r="B247" s="192"/>
      <c r="C247" s="58"/>
      <c r="D247" s="323"/>
      <c r="E247" s="324"/>
      <c r="F247" s="325"/>
      <c r="G247" s="337"/>
    </row>
    <row r="248" spans="1:7" ht="15.75">
      <c r="A248" s="329"/>
      <c r="B248" s="192"/>
      <c r="C248" s="58"/>
      <c r="D248" s="323"/>
      <c r="E248" s="324"/>
      <c r="F248" s="325"/>
      <c r="G248" s="337"/>
    </row>
    <row r="249" spans="1:7" ht="15.75">
      <c r="A249" s="329"/>
      <c r="B249" s="192"/>
      <c r="C249" s="58"/>
      <c r="D249" s="323"/>
      <c r="E249" s="324"/>
      <c r="F249" s="325"/>
      <c r="G249" s="337"/>
    </row>
    <row r="250" spans="1:7" ht="15.75">
      <c r="A250" s="329"/>
      <c r="B250" s="192"/>
      <c r="C250" s="58"/>
      <c r="D250" s="323"/>
      <c r="E250" s="324"/>
      <c r="F250" s="325"/>
      <c r="G250" s="337"/>
    </row>
    <row r="251" spans="1:7" ht="15.75">
      <c r="A251" s="329"/>
      <c r="B251" s="192"/>
      <c r="C251" s="58"/>
      <c r="D251" s="323"/>
      <c r="E251" s="324"/>
      <c r="F251" s="325"/>
      <c r="G251" s="337"/>
    </row>
    <row r="252" spans="1:7" ht="15.75">
      <c r="A252" s="329"/>
      <c r="B252" s="192"/>
      <c r="C252" s="58"/>
      <c r="D252" s="323"/>
      <c r="E252" s="324"/>
      <c r="F252" s="325"/>
      <c r="G252" s="337"/>
    </row>
    <row r="253" spans="1:7" ht="15.75">
      <c r="A253" s="329"/>
      <c r="B253" s="192"/>
      <c r="C253" s="58"/>
      <c r="D253" s="323"/>
      <c r="E253" s="324"/>
      <c r="F253" s="325"/>
      <c r="G253" s="337"/>
    </row>
    <row r="254" spans="1:7" ht="15.75">
      <c r="A254" s="329"/>
      <c r="B254" s="192"/>
      <c r="C254" s="58"/>
      <c r="D254" s="323"/>
      <c r="E254" s="324"/>
      <c r="F254" s="325"/>
      <c r="G254" s="337"/>
    </row>
    <row r="255" spans="1:7" ht="15.75">
      <c r="A255" s="329"/>
      <c r="B255" s="192"/>
      <c r="C255" s="58"/>
      <c r="D255" s="323"/>
      <c r="E255" s="324"/>
      <c r="F255" s="325"/>
      <c r="G255" s="337"/>
    </row>
    <row r="256" spans="1:7" ht="15.75">
      <c r="A256" s="329"/>
      <c r="B256" s="192"/>
      <c r="C256" s="58"/>
      <c r="D256" s="323"/>
      <c r="E256" s="324"/>
      <c r="F256" s="325"/>
      <c r="G256" s="337"/>
    </row>
    <row r="257" spans="1:7" ht="15.75">
      <c r="A257" s="329"/>
      <c r="B257" s="192"/>
      <c r="C257" s="58"/>
      <c r="D257" s="323"/>
      <c r="E257" s="324"/>
      <c r="F257" s="325"/>
      <c r="G257" s="337"/>
    </row>
    <row r="258" spans="1:7" ht="15.75">
      <c r="A258" s="329"/>
      <c r="B258" s="192"/>
      <c r="C258" s="58"/>
      <c r="D258" s="323"/>
      <c r="E258" s="324"/>
      <c r="F258" s="325"/>
      <c r="G258" s="337"/>
    </row>
    <row r="259" spans="1:7" ht="15.75">
      <c r="A259" s="329"/>
      <c r="B259" s="192"/>
      <c r="C259" s="58"/>
      <c r="D259" s="323"/>
      <c r="E259" s="324"/>
      <c r="F259" s="325"/>
      <c r="G259" s="337"/>
    </row>
    <row r="260" spans="1:7" ht="15.75">
      <c r="A260" s="329"/>
      <c r="B260" s="192"/>
      <c r="C260" s="58"/>
      <c r="D260" s="323"/>
      <c r="E260" s="324"/>
      <c r="F260" s="325"/>
      <c r="G260" s="337"/>
    </row>
    <row r="261" spans="1:7" ht="15.75">
      <c r="A261" s="329"/>
      <c r="B261" s="192"/>
      <c r="C261" s="58"/>
      <c r="D261" s="323"/>
      <c r="E261" s="324"/>
      <c r="F261" s="325"/>
      <c r="G261" s="337"/>
    </row>
    <row r="262" spans="1:7" ht="15.75">
      <c r="A262" s="329"/>
      <c r="B262" s="192"/>
      <c r="C262" s="58"/>
      <c r="D262" s="323"/>
      <c r="E262" s="324"/>
      <c r="F262" s="325"/>
      <c r="G262" s="337"/>
    </row>
    <row r="263" spans="1:7" ht="15.75">
      <c r="A263" s="329"/>
      <c r="B263" s="192"/>
      <c r="C263" s="58"/>
      <c r="D263" s="323"/>
      <c r="E263" s="324"/>
      <c r="F263" s="325"/>
      <c r="G263" s="337"/>
    </row>
    <row r="264" spans="1:7" ht="15.75">
      <c r="A264" s="329"/>
      <c r="B264" s="192"/>
      <c r="C264" s="58"/>
      <c r="D264" s="323"/>
      <c r="E264" s="324"/>
      <c r="F264" s="325"/>
      <c r="G264" s="337"/>
    </row>
    <row r="265" spans="1:7" ht="15.75">
      <c r="A265" s="329"/>
      <c r="B265" s="192"/>
      <c r="C265" s="58"/>
      <c r="D265" s="323"/>
      <c r="E265" s="324"/>
      <c r="F265" s="325"/>
      <c r="G265" s="337"/>
    </row>
    <row r="266" spans="1:7" ht="15.75">
      <c r="A266" s="329"/>
      <c r="B266" s="192"/>
      <c r="C266" s="58"/>
      <c r="D266" s="323"/>
      <c r="E266" s="324"/>
      <c r="F266" s="325"/>
      <c r="G266" s="337"/>
    </row>
    <row r="267" spans="1:7" ht="15.75">
      <c r="A267" s="329"/>
      <c r="B267" s="192"/>
      <c r="C267" s="58"/>
      <c r="D267" s="323"/>
      <c r="E267" s="324"/>
      <c r="F267" s="325"/>
      <c r="G267" s="337"/>
    </row>
    <row r="268" spans="1:7" ht="15.75">
      <c r="A268" s="329"/>
      <c r="B268" s="192"/>
      <c r="C268" s="58"/>
      <c r="D268" s="323"/>
      <c r="E268" s="324"/>
      <c r="F268" s="325"/>
      <c r="G268" s="337"/>
    </row>
    <row r="269" spans="1:7" ht="15.75">
      <c r="A269" s="329"/>
      <c r="B269" s="192"/>
      <c r="C269" s="58"/>
      <c r="D269" s="323"/>
      <c r="E269" s="324"/>
      <c r="F269" s="325"/>
      <c r="G269" s="337"/>
    </row>
    <row r="270" spans="1:7" ht="15.75">
      <c r="A270" s="329"/>
      <c r="B270" s="192"/>
      <c r="C270" s="58"/>
      <c r="D270" s="323"/>
      <c r="E270" s="324"/>
      <c r="F270" s="325"/>
      <c r="G270" s="337"/>
    </row>
    <row r="271" spans="1:7" ht="15.75">
      <c r="A271" s="329"/>
      <c r="B271" s="192"/>
      <c r="C271" s="58"/>
      <c r="D271" s="323"/>
      <c r="E271" s="324"/>
      <c r="F271" s="325"/>
      <c r="G271" s="337"/>
    </row>
    <row r="272" spans="1:7" ht="15.75">
      <c r="A272" s="329"/>
      <c r="B272" s="192"/>
      <c r="C272" s="58"/>
      <c r="D272" s="323"/>
      <c r="E272" s="324"/>
      <c r="F272" s="325"/>
      <c r="G272" s="337"/>
    </row>
    <row r="273" spans="1:7" ht="15.75">
      <c r="A273" s="329"/>
      <c r="B273" s="192"/>
      <c r="C273" s="58"/>
      <c r="D273" s="323"/>
      <c r="E273" s="324"/>
      <c r="F273" s="325"/>
      <c r="G273" s="337"/>
    </row>
    <row r="274" spans="1:7" ht="15.75">
      <c r="A274" s="329"/>
      <c r="B274" s="192"/>
      <c r="C274" s="58"/>
      <c r="D274" s="323"/>
      <c r="E274" s="324"/>
      <c r="F274" s="325"/>
      <c r="G274" s="337"/>
    </row>
    <row r="275" spans="1:7" ht="15.75">
      <c r="A275" s="329"/>
      <c r="B275" s="192"/>
      <c r="C275" s="58"/>
      <c r="D275" s="323"/>
      <c r="E275" s="324"/>
      <c r="F275" s="325"/>
      <c r="G275" s="337"/>
    </row>
    <row r="276" spans="1:7" ht="15.75">
      <c r="A276" s="329"/>
      <c r="B276" s="192"/>
      <c r="C276" s="58"/>
      <c r="D276" s="323"/>
      <c r="E276" s="324"/>
      <c r="F276" s="325"/>
      <c r="G276" s="337"/>
    </row>
    <row r="277" spans="1:7" ht="15.75">
      <c r="A277" s="329"/>
      <c r="B277" s="192"/>
      <c r="C277" s="58"/>
      <c r="D277" s="323"/>
      <c r="E277" s="324"/>
      <c r="F277" s="325"/>
      <c r="G277" s="337"/>
    </row>
    <row r="278" spans="1:7" ht="15.75">
      <c r="A278" s="329"/>
      <c r="B278" s="192"/>
      <c r="C278" s="58"/>
      <c r="D278" s="323"/>
      <c r="E278" s="324"/>
      <c r="F278" s="325"/>
      <c r="G278" s="337"/>
    </row>
    <row r="279" spans="1:7" ht="15.75">
      <c r="A279" s="329"/>
      <c r="B279" s="192"/>
      <c r="C279" s="58"/>
      <c r="D279" s="323"/>
      <c r="E279" s="324"/>
      <c r="F279" s="325"/>
      <c r="G279" s="337"/>
    </row>
    <row r="280" spans="1:7" ht="15.75">
      <c r="A280" s="329"/>
      <c r="B280" s="192"/>
      <c r="C280" s="58"/>
      <c r="D280" s="323"/>
      <c r="E280" s="324"/>
      <c r="F280" s="325"/>
      <c r="G280" s="337"/>
    </row>
    <row r="281" spans="1:7" ht="15.75">
      <c r="A281" s="329"/>
      <c r="B281" s="192"/>
      <c r="C281" s="58"/>
      <c r="D281" s="323"/>
      <c r="E281" s="324"/>
      <c r="F281" s="325"/>
      <c r="G281" s="337"/>
    </row>
    <row r="282" spans="1:7" ht="15.75">
      <c r="A282" s="329"/>
      <c r="B282" s="192"/>
      <c r="C282" s="58"/>
      <c r="D282" s="323"/>
      <c r="E282" s="324"/>
      <c r="F282" s="325"/>
      <c r="G282" s="337"/>
    </row>
    <row r="283" spans="1:7" ht="15.75">
      <c r="A283" s="329"/>
      <c r="B283" s="192"/>
      <c r="C283" s="58"/>
      <c r="D283" s="323"/>
      <c r="E283" s="324"/>
      <c r="F283" s="325"/>
      <c r="G283" s="337"/>
    </row>
    <row r="284" spans="1:7" ht="15.75">
      <c r="A284" s="329"/>
      <c r="B284" s="192"/>
      <c r="C284" s="58"/>
      <c r="D284" s="323"/>
      <c r="E284" s="324"/>
      <c r="F284" s="325"/>
      <c r="G284" s="337"/>
    </row>
    <row r="285" spans="1:7" ht="15.75">
      <c r="A285" s="329"/>
      <c r="B285" s="192"/>
      <c r="C285" s="58"/>
      <c r="D285" s="323"/>
      <c r="E285" s="324"/>
      <c r="F285" s="325"/>
      <c r="G285" s="337"/>
    </row>
    <row r="286" spans="1:7" ht="15.75">
      <c r="A286" s="329"/>
      <c r="B286" s="192"/>
      <c r="C286" s="58"/>
      <c r="D286" s="323"/>
      <c r="E286" s="324"/>
      <c r="F286" s="325"/>
      <c r="G286" s="337"/>
    </row>
    <row r="287" spans="1:7" ht="15.75">
      <c r="A287" s="329"/>
      <c r="B287" s="192"/>
      <c r="C287" s="58"/>
      <c r="D287" s="323"/>
      <c r="E287" s="324"/>
      <c r="F287" s="325"/>
      <c r="G287" s="337"/>
    </row>
    <row r="288" spans="1:7" ht="15.75">
      <c r="A288" s="329"/>
      <c r="B288" s="192"/>
      <c r="C288" s="58"/>
      <c r="D288" s="323"/>
      <c r="E288" s="324"/>
      <c r="F288" s="325"/>
      <c r="G288" s="337"/>
    </row>
    <row r="289" spans="1:8" ht="15.75">
      <c r="A289" s="329"/>
      <c r="B289" s="192"/>
      <c r="C289" s="58"/>
      <c r="D289" s="323"/>
      <c r="E289" s="324"/>
      <c r="F289" s="325"/>
      <c r="G289" s="337"/>
    </row>
    <row r="290" spans="1:8" ht="15.75">
      <c r="A290" s="329"/>
      <c r="B290" s="192"/>
      <c r="C290" s="58"/>
      <c r="D290" s="323"/>
      <c r="E290" s="324"/>
      <c r="F290" s="325"/>
      <c r="G290" s="337"/>
    </row>
    <row r="291" spans="1:8" ht="15.75">
      <c r="A291" s="329"/>
      <c r="B291" s="192"/>
      <c r="C291" s="58"/>
      <c r="D291" s="323"/>
      <c r="E291" s="324"/>
      <c r="F291" s="325"/>
      <c r="G291" s="337"/>
    </row>
    <row r="292" spans="1:8" ht="15.75">
      <c r="A292" s="329"/>
      <c r="B292" s="192"/>
      <c r="C292" s="58"/>
      <c r="D292" s="323"/>
      <c r="E292" s="324"/>
      <c r="F292" s="325"/>
      <c r="G292" s="337"/>
    </row>
    <row r="293" spans="1:8" ht="15.75">
      <c r="A293" s="329"/>
      <c r="B293" s="192"/>
      <c r="C293" s="58"/>
      <c r="D293" s="323"/>
      <c r="E293" s="324"/>
      <c r="F293" s="325"/>
      <c r="G293" s="337"/>
    </row>
    <row r="294" spans="1:8" ht="15.75">
      <c r="A294" s="329"/>
      <c r="B294" s="192"/>
      <c r="C294" s="58"/>
      <c r="D294" s="323"/>
      <c r="E294" s="324"/>
      <c r="F294" s="325"/>
      <c r="G294" s="337"/>
    </row>
    <row r="295" spans="1:8" ht="15.75">
      <c r="A295" s="329"/>
      <c r="B295" s="192"/>
      <c r="C295" s="58"/>
      <c r="D295" s="323"/>
      <c r="E295" s="324"/>
      <c r="F295" s="325"/>
      <c r="G295" s="337"/>
    </row>
    <row r="296" spans="1:8" ht="15.75">
      <c r="A296" s="329"/>
      <c r="B296" s="192"/>
      <c r="C296" s="58"/>
      <c r="D296" s="323"/>
      <c r="E296" s="324"/>
      <c r="F296" s="325"/>
      <c r="G296" s="337"/>
    </row>
    <row r="297" spans="1:8" ht="15.75">
      <c r="A297" s="329"/>
      <c r="B297" s="192"/>
      <c r="C297" s="58"/>
      <c r="D297" s="323"/>
      <c r="E297" s="324"/>
      <c r="F297" s="325"/>
      <c r="G297" s="337"/>
    </row>
    <row r="298" spans="1:8" ht="15.75">
      <c r="A298" s="329"/>
      <c r="B298" s="192"/>
      <c r="C298" s="58"/>
      <c r="D298" s="323"/>
      <c r="E298" s="324"/>
      <c r="F298" s="325"/>
      <c r="G298" s="337"/>
    </row>
    <row r="299" spans="1:8" ht="15.75">
      <c r="A299" s="329"/>
      <c r="B299" s="192"/>
      <c r="C299" s="58"/>
      <c r="D299" s="323"/>
      <c r="E299" s="324"/>
      <c r="F299" s="325"/>
      <c r="G299" s="337"/>
    </row>
    <row r="300" spans="1:8" ht="15.75">
      <c r="A300" s="329"/>
      <c r="B300" s="192"/>
      <c r="C300" s="58"/>
      <c r="D300" s="323"/>
      <c r="E300" s="324"/>
      <c r="F300" s="325"/>
      <c r="G300" s="337"/>
    </row>
    <row r="301" spans="1:8" ht="13.5" thickBot="1">
      <c r="A301" s="330"/>
      <c r="B301" s="340" t="s">
        <v>2183</v>
      </c>
      <c r="C301" s="340"/>
      <c r="D301" s="340"/>
      <c r="E301" s="340"/>
      <c r="F301" s="340"/>
      <c r="G301" s="338"/>
    </row>
    <row r="302" spans="1:8" ht="13.5" thickTop="1">
      <c r="D302" s="189" t="s">
        <v>670</v>
      </c>
    </row>
    <row r="303" spans="1:8" hidden="1">
      <c r="A303" s="127" t="s">
        <v>2207</v>
      </c>
      <c r="B303" s="193" t="s">
        <v>2208</v>
      </c>
      <c r="C303" s="127" t="s">
        <v>2209</v>
      </c>
      <c r="D303" s="127" t="s">
        <v>2210</v>
      </c>
      <c r="E303" s="127" t="s">
        <v>756</v>
      </c>
      <c r="F303" s="127" t="s">
        <v>757</v>
      </c>
      <c r="G303" s="127" t="s">
        <v>758</v>
      </c>
      <c r="H303" s="127" t="s">
        <v>454</v>
      </c>
    </row>
    <row r="304" spans="1:8" hidden="1">
      <c r="A304" s="127" t="s">
        <v>1831</v>
      </c>
      <c r="B304" s="193" t="s">
        <v>616</v>
      </c>
      <c r="C304" s="127" t="s">
        <v>617</v>
      </c>
      <c r="D304" s="127" t="s">
        <v>816</v>
      </c>
      <c r="E304" s="127" t="s">
        <v>634</v>
      </c>
      <c r="F304" s="127" t="s">
        <v>618</v>
      </c>
      <c r="G304" s="127" t="s">
        <v>817</v>
      </c>
      <c r="H304" s="127" t="s">
        <v>619</v>
      </c>
    </row>
    <row r="305" spans="1:8" hidden="1">
      <c r="A305" s="127" t="s">
        <v>1832</v>
      </c>
      <c r="B305" s="193" t="s">
        <v>620</v>
      </c>
      <c r="C305" s="127" t="s">
        <v>621</v>
      </c>
      <c r="D305" s="127" t="s">
        <v>622</v>
      </c>
      <c r="E305" s="127" t="s">
        <v>623</v>
      </c>
      <c r="F305" s="127" t="s">
        <v>624</v>
      </c>
      <c r="G305" s="127" t="s">
        <v>625</v>
      </c>
      <c r="H305" s="127" t="s">
        <v>626</v>
      </c>
    </row>
    <row r="306" spans="1:8" hidden="1">
      <c r="A306" s="127" t="s">
        <v>1833</v>
      </c>
      <c r="B306" s="193" t="s">
        <v>627</v>
      </c>
      <c r="C306" s="127" t="s">
        <v>628</v>
      </c>
      <c r="D306" s="127" t="s">
        <v>629</v>
      </c>
      <c r="E306" s="127" t="s">
        <v>630</v>
      </c>
      <c r="F306" s="127" t="s">
        <v>631</v>
      </c>
      <c r="G306" s="127" t="s">
        <v>632</v>
      </c>
      <c r="H306" s="127" t="s">
        <v>633</v>
      </c>
    </row>
    <row r="307" spans="1:8" hidden="1">
      <c r="A307" s="127" t="s">
        <v>1258</v>
      </c>
      <c r="B307" s="193" t="s">
        <v>2217</v>
      </c>
      <c r="C307" s="127" t="s">
        <v>2270</v>
      </c>
      <c r="D307" s="127" t="s">
        <v>1158</v>
      </c>
      <c r="E307" s="127" t="s">
        <v>1159</v>
      </c>
      <c r="F307" s="127" t="s">
        <v>1160</v>
      </c>
      <c r="G307" s="127" t="s">
        <v>818</v>
      </c>
      <c r="H307" s="127" t="s">
        <v>1162</v>
      </c>
    </row>
  </sheetData>
  <sheetProtection password="C453" sheet="1" objects="1" scenarios="1" insertRows="0" deleteRows="0" sort="0"/>
  <mergeCells count="302">
    <mergeCell ref="D291:F291"/>
    <mergeCell ref="D292:F292"/>
    <mergeCell ref="D285:F285"/>
    <mergeCell ref="D286:F286"/>
    <mergeCell ref="D287:F287"/>
    <mergeCell ref="D288:F288"/>
    <mergeCell ref="D289:F289"/>
    <mergeCell ref="D290:F290"/>
    <mergeCell ref="D279:F279"/>
    <mergeCell ref="D280:F280"/>
    <mergeCell ref="D281:F281"/>
    <mergeCell ref="D282:F282"/>
    <mergeCell ref="D283:F283"/>
    <mergeCell ref="D284:F284"/>
    <mergeCell ref="D300:F300"/>
    <mergeCell ref="B301:F301"/>
    <mergeCell ref="D293:F293"/>
    <mergeCell ref="D294:F294"/>
    <mergeCell ref="D295:F295"/>
    <mergeCell ref="D296:F296"/>
    <mergeCell ref="D297:F297"/>
    <mergeCell ref="D298:F298"/>
    <mergeCell ref="D299:F299"/>
    <mergeCell ref="D269:F269"/>
    <mergeCell ref="D270:F270"/>
    <mergeCell ref="D271:F271"/>
    <mergeCell ref="D272:F272"/>
    <mergeCell ref="D277:F277"/>
    <mergeCell ref="D278:F278"/>
    <mergeCell ref="D273:F273"/>
    <mergeCell ref="D274:F274"/>
    <mergeCell ref="D275:F275"/>
    <mergeCell ref="D276:F276"/>
    <mergeCell ref="B4:F4"/>
    <mergeCell ref="D267:F267"/>
    <mergeCell ref="D268:F268"/>
    <mergeCell ref="D257:F257"/>
    <mergeCell ref="D258:F258"/>
    <mergeCell ref="D259:F259"/>
    <mergeCell ref="D260:F260"/>
    <mergeCell ref="D261:F261"/>
    <mergeCell ref="D262:F262"/>
    <mergeCell ref="D263:F263"/>
    <mergeCell ref="D265:F265"/>
    <mergeCell ref="D266:F266"/>
    <mergeCell ref="D255:F255"/>
    <mergeCell ref="D256:F256"/>
    <mergeCell ref="D239:F239"/>
    <mergeCell ref="D240:F240"/>
    <mergeCell ref="D241:F241"/>
    <mergeCell ref="D242:F242"/>
    <mergeCell ref="D243:F243"/>
    <mergeCell ref="D244:F244"/>
    <mergeCell ref="D247:F247"/>
    <mergeCell ref="D248:F248"/>
    <mergeCell ref="D264:F264"/>
    <mergeCell ref="D251:F251"/>
    <mergeCell ref="D252:F252"/>
    <mergeCell ref="D253:F253"/>
    <mergeCell ref="D254:F254"/>
    <mergeCell ref="D249:F249"/>
    <mergeCell ref="D250:F250"/>
    <mergeCell ref="D230:F230"/>
    <mergeCell ref="D219:F219"/>
    <mergeCell ref="D220:F220"/>
    <mergeCell ref="D221:F221"/>
    <mergeCell ref="D222:F222"/>
    <mergeCell ref="D223:F223"/>
    <mergeCell ref="D224:F224"/>
    <mergeCell ref="D245:F245"/>
    <mergeCell ref="D246:F246"/>
    <mergeCell ref="D231:F231"/>
    <mergeCell ref="D232:F232"/>
    <mergeCell ref="D233:F233"/>
    <mergeCell ref="D234:F234"/>
    <mergeCell ref="D235:F235"/>
    <mergeCell ref="D236:F236"/>
    <mergeCell ref="D237:F237"/>
    <mergeCell ref="D238:F238"/>
    <mergeCell ref="D225:F225"/>
    <mergeCell ref="D226:F226"/>
    <mergeCell ref="D215:F215"/>
    <mergeCell ref="D216:F216"/>
    <mergeCell ref="D217:F217"/>
    <mergeCell ref="D218:F218"/>
    <mergeCell ref="D227:F227"/>
    <mergeCell ref="D228:F228"/>
    <mergeCell ref="D229:F229"/>
    <mergeCell ref="D213:F213"/>
    <mergeCell ref="D214:F214"/>
    <mergeCell ref="D212:F212"/>
    <mergeCell ref="D201:F201"/>
    <mergeCell ref="D202:F202"/>
    <mergeCell ref="D191:F191"/>
    <mergeCell ref="D192:F192"/>
    <mergeCell ref="D193:F193"/>
    <mergeCell ref="D194:F194"/>
    <mergeCell ref="D195:F195"/>
    <mergeCell ref="D196:F196"/>
    <mergeCell ref="D197:F197"/>
    <mergeCell ref="D198:F198"/>
    <mergeCell ref="D199:F199"/>
    <mergeCell ref="D200:F200"/>
    <mergeCell ref="D203:F203"/>
    <mergeCell ref="D204:F204"/>
    <mergeCell ref="D205:F205"/>
    <mergeCell ref="D206:F206"/>
    <mergeCell ref="D207:F207"/>
    <mergeCell ref="D208:F208"/>
    <mergeCell ref="D209:F209"/>
    <mergeCell ref="D210:F210"/>
    <mergeCell ref="D211:F211"/>
    <mergeCell ref="D189:F189"/>
    <mergeCell ref="D190:F190"/>
    <mergeCell ref="D179:F179"/>
    <mergeCell ref="D180:F180"/>
    <mergeCell ref="D181:F181"/>
    <mergeCell ref="D182:F182"/>
    <mergeCell ref="D183:F183"/>
    <mergeCell ref="D184:F184"/>
    <mergeCell ref="D185:F185"/>
    <mergeCell ref="D186:F186"/>
    <mergeCell ref="D187:F187"/>
    <mergeCell ref="D188:F188"/>
    <mergeCell ref="D177:F177"/>
    <mergeCell ref="D178:F178"/>
    <mergeCell ref="D167:F167"/>
    <mergeCell ref="D168:F168"/>
    <mergeCell ref="D169:F169"/>
    <mergeCell ref="D170:F170"/>
    <mergeCell ref="D171:F171"/>
    <mergeCell ref="D172:F172"/>
    <mergeCell ref="D173:F173"/>
    <mergeCell ref="D174:F174"/>
    <mergeCell ref="D175:F175"/>
    <mergeCell ref="D176:F176"/>
    <mergeCell ref="D165:F165"/>
    <mergeCell ref="D166:F166"/>
    <mergeCell ref="D155:F155"/>
    <mergeCell ref="D156:F156"/>
    <mergeCell ref="D157:F157"/>
    <mergeCell ref="D158:F158"/>
    <mergeCell ref="D159:F159"/>
    <mergeCell ref="D160:F160"/>
    <mergeCell ref="D161:F161"/>
    <mergeCell ref="D162:F162"/>
    <mergeCell ref="D163:F163"/>
    <mergeCell ref="D164:F164"/>
    <mergeCell ref="D153:F153"/>
    <mergeCell ref="D154:F154"/>
    <mergeCell ref="D143:F143"/>
    <mergeCell ref="D144:F144"/>
    <mergeCell ref="D145:F145"/>
    <mergeCell ref="D146:F146"/>
    <mergeCell ref="D147:F147"/>
    <mergeCell ref="D148:F148"/>
    <mergeCell ref="D149:F149"/>
    <mergeCell ref="D150:F150"/>
    <mergeCell ref="D151:F151"/>
    <mergeCell ref="D152:F152"/>
    <mergeCell ref="D141:F141"/>
    <mergeCell ref="D142:F142"/>
    <mergeCell ref="D131:F131"/>
    <mergeCell ref="D132:F132"/>
    <mergeCell ref="D133:F133"/>
    <mergeCell ref="D134:F134"/>
    <mergeCell ref="D135:F135"/>
    <mergeCell ref="D136:F136"/>
    <mergeCell ref="D137:F137"/>
    <mergeCell ref="D138:F138"/>
    <mergeCell ref="D139:F139"/>
    <mergeCell ref="D140:F140"/>
    <mergeCell ref="D129:F129"/>
    <mergeCell ref="D130:F130"/>
    <mergeCell ref="D119:F119"/>
    <mergeCell ref="D120:F120"/>
    <mergeCell ref="D121:F121"/>
    <mergeCell ref="D122:F122"/>
    <mergeCell ref="D123:F123"/>
    <mergeCell ref="D124:F124"/>
    <mergeCell ref="D125:F125"/>
    <mergeCell ref="D126:F126"/>
    <mergeCell ref="D127:F127"/>
    <mergeCell ref="D128:F128"/>
    <mergeCell ref="D117:F117"/>
    <mergeCell ref="D118:F118"/>
    <mergeCell ref="D107:F107"/>
    <mergeCell ref="D108:F108"/>
    <mergeCell ref="D109:F109"/>
    <mergeCell ref="D110:F110"/>
    <mergeCell ref="D111:F111"/>
    <mergeCell ref="D112:F112"/>
    <mergeCell ref="D113:F113"/>
    <mergeCell ref="D114:F114"/>
    <mergeCell ref="D115:F115"/>
    <mergeCell ref="D116:F116"/>
    <mergeCell ref="D105:F105"/>
    <mergeCell ref="D106:F106"/>
    <mergeCell ref="D95:F95"/>
    <mergeCell ref="D96:F96"/>
    <mergeCell ref="D97:F97"/>
    <mergeCell ref="D98:F98"/>
    <mergeCell ref="D99:F99"/>
    <mergeCell ref="D100:F100"/>
    <mergeCell ref="D101:F101"/>
    <mergeCell ref="D102:F102"/>
    <mergeCell ref="D103:F103"/>
    <mergeCell ref="D104:F104"/>
    <mergeCell ref="D93:F93"/>
    <mergeCell ref="D94:F94"/>
    <mergeCell ref="D83:F83"/>
    <mergeCell ref="D84:F84"/>
    <mergeCell ref="D85:F85"/>
    <mergeCell ref="D86:F86"/>
    <mergeCell ref="D87:F87"/>
    <mergeCell ref="D88:F88"/>
    <mergeCell ref="D89:F89"/>
    <mergeCell ref="D90:F90"/>
    <mergeCell ref="D91:F91"/>
    <mergeCell ref="D92:F92"/>
    <mergeCell ref="D81:F81"/>
    <mergeCell ref="D82:F82"/>
    <mergeCell ref="D71:F71"/>
    <mergeCell ref="D72:F72"/>
    <mergeCell ref="D73:F73"/>
    <mergeCell ref="D74:F74"/>
    <mergeCell ref="D75:F75"/>
    <mergeCell ref="D76:F76"/>
    <mergeCell ref="D77:F77"/>
    <mergeCell ref="D78:F78"/>
    <mergeCell ref="D79:F79"/>
    <mergeCell ref="D80:F80"/>
    <mergeCell ref="D69:F69"/>
    <mergeCell ref="D70:F70"/>
    <mergeCell ref="D59:F59"/>
    <mergeCell ref="D60:F60"/>
    <mergeCell ref="D61:F61"/>
    <mergeCell ref="D62:F62"/>
    <mergeCell ref="D63:F63"/>
    <mergeCell ref="D64:F64"/>
    <mergeCell ref="D65:F65"/>
    <mergeCell ref="D66:F66"/>
    <mergeCell ref="D67:F67"/>
    <mergeCell ref="D68:F68"/>
    <mergeCell ref="D57:F57"/>
    <mergeCell ref="D58:F58"/>
    <mergeCell ref="D47:F47"/>
    <mergeCell ref="D48:F48"/>
    <mergeCell ref="D49:F49"/>
    <mergeCell ref="D50:F50"/>
    <mergeCell ref="D51:F51"/>
    <mergeCell ref="D52:F52"/>
    <mergeCell ref="D53:F53"/>
    <mergeCell ref="D54:F54"/>
    <mergeCell ref="D55:F55"/>
    <mergeCell ref="D56:F56"/>
    <mergeCell ref="D30:F30"/>
    <mergeCell ref="D45:F45"/>
    <mergeCell ref="D46:F46"/>
    <mergeCell ref="D35:F35"/>
    <mergeCell ref="D36:F36"/>
    <mergeCell ref="D37:F37"/>
    <mergeCell ref="D38:F38"/>
    <mergeCell ref="D39:F39"/>
    <mergeCell ref="D40:F40"/>
    <mergeCell ref="D41:F41"/>
    <mergeCell ref="D42:F42"/>
    <mergeCell ref="D43:F43"/>
    <mergeCell ref="D44:F44"/>
    <mergeCell ref="D24:F24"/>
    <mergeCell ref="A1:G1"/>
    <mergeCell ref="A2:A301"/>
    <mergeCell ref="B2:D3"/>
    <mergeCell ref="G2:G301"/>
    <mergeCell ref="D5:F5"/>
    <mergeCell ref="D6:F6"/>
    <mergeCell ref="D7:F7"/>
    <mergeCell ref="D8:F8"/>
    <mergeCell ref="D31:F31"/>
    <mergeCell ref="D32:F32"/>
    <mergeCell ref="D33:F33"/>
    <mergeCell ref="D34:F34"/>
    <mergeCell ref="D11:F11"/>
    <mergeCell ref="D12:F12"/>
    <mergeCell ref="D13:F13"/>
    <mergeCell ref="D14:F14"/>
    <mergeCell ref="D15:F15"/>
    <mergeCell ref="D16:F16"/>
    <mergeCell ref="D25:F25"/>
    <mergeCell ref="D26:F26"/>
    <mergeCell ref="D27:F27"/>
    <mergeCell ref="D28:F28"/>
    <mergeCell ref="D29:F29"/>
    <mergeCell ref="D9:F9"/>
    <mergeCell ref="D10:F10"/>
    <mergeCell ref="D21:F21"/>
    <mergeCell ref="D22:F22"/>
    <mergeCell ref="D17:F17"/>
    <mergeCell ref="D18:F18"/>
    <mergeCell ref="D19:F19"/>
    <mergeCell ref="D20:F20"/>
    <mergeCell ref="D23:F23"/>
  </mergeCells>
  <phoneticPr fontId="0" type="noConversion"/>
  <hyperlinks>
    <hyperlink ref="B4:F4" location="Declaration!D8" display="Click here to return to Declaration tab"/>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Revision</vt:lpstr>
      <vt:lpstr>Instructions</vt:lpstr>
      <vt:lpstr>Definitions</vt:lpstr>
      <vt:lpstr>Declaration</vt:lpstr>
      <vt:lpstr>Smelter List</vt:lpstr>
      <vt:lpstr>Standard Smelter Names</vt:lpstr>
      <vt:lpstr>Checker</vt:lpstr>
      <vt:lpstr>Product List</vt:lpstr>
      <vt:lpstr>Gold</vt:lpstr>
      <vt:lpstr>Metal</vt:lpstr>
      <vt:lpstr>Tantalum</vt:lpstr>
      <vt:lpstr>Tin</vt:lpstr>
      <vt:lpstr>Tungsten</vt:lpstr>
    </vt:vector>
  </TitlesOfParts>
  <Company>Apple Computer,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Administrator</cp:lastModifiedBy>
  <cp:lastPrinted>2011-02-10T23:41:51Z</cp:lastPrinted>
  <dcterms:created xsi:type="dcterms:W3CDTF">2010-06-21T21:00:23Z</dcterms:created>
  <dcterms:modified xsi:type="dcterms:W3CDTF">2014-06-16T00:04:32Z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