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\Downloads\"/>
    </mc:Choice>
  </mc:AlternateContent>
  <bookViews>
    <workbookView xWindow="0" yWindow="0" windowWidth="15840" windowHeight="11760"/>
  </bookViews>
  <sheets>
    <sheet name="시트1" sheetId="1" r:id="rId1"/>
  </sheets>
  <definedNames>
    <definedName name="GeocodeAddressColumn_1">시트1!$N$1</definedName>
  </definedNames>
  <calcPr calcId="162913"/>
</workbook>
</file>

<file path=xl/calcChain.xml><?xml version="1.0" encoding="utf-8"?>
<calcChain xmlns="http://schemas.openxmlformats.org/spreadsheetml/2006/main">
  <c r="J31" i="1" l="1"/>
  <c r="E5" i="1"/>
  <c r="H22" i="1"/>
  <c r="G14" i="1"/>
  <c r="B22" i="1"/>
  <c r="I21" i="1"/>
  <c r="G19" i="1"/>
  <c r="E10" i="1"/>
  <c r="I30" i="1"/>
  <c r="G16" i="1"/>
  <c r="E25" i="1"/>
  <c r="E4" i="1"/>
  <c r="H9" i="1"/>
  <c r="I6" i="1"/>
  <c r="F25" i="1"/>
  <c r="C22" i="1"/>
  <c r="F21" i="1"/>
  <c r="J16" i="1"/>
  <c r="C26" i="1"/>
  <c r="D14" i="1"/>
  <c r="E22" i="1"/>
  <c r="B26" i="1"/>
  <c r="H8" i="1"/>
  <c r="D28" i="1"/>
  <c r="G2" i="1"/>
  <c r="E26" i="1"/>
  <c r="I13" i="1"/>
  <c r="J8" i="1"/>
  <c r="F9" i="1"/>
  <c r="E1" i="1"/>
  <c r="D6" i="1"/>
  <c r="B10" i="1"/>
  <c r="E15" i="1"/>
  <c r="H20" i="1"/>
  <c r="G4" i="1"/>
  <c r="G22" i="1"/>
  <c r="G5" i="1"/>
  <c r="F8" i="1"/>
  <c r="H23" i="1"/>
  <c r="H2" i="1"/>
  <c r="F30" i="1"/>
  <c r="J18" i="1"/>
  <c r="F10" i="1"/>
  <c r="C14" i="1"/>
  <c r="B20" i="1"/>
  <c r="H21" i="1"/>
  <c r="G15" i="1"/>
  <c r="J17" i="1"/>
  <c r="D20" i="1"/>
  <c r="C28" i="1"/>
  <c r="J7" i="1"/>
  <c r="G11" i="1"/>
  <c r="C24" i="1"/>
  <c r="J20" i="1"/>
  <c r="H16" i="1"/>
  <c r="G8" i="1"/>
  <c r="H1" i="1"/>
  <c r="I19" i="1"/>
  <c r="B12" i="1"/>
  <c r="A1" i="1"/>
  <c r="C19" i="1"/>
  <c r="G7" i="1"/>
  <c r="E20" i="1"/>
  <c r="F17" i="1"/>
  <c r="E19" i="1"/>
  <c r="I23" i="1"/>
  <c r="C12" i="1"/>
  <c r="D13" i="1"/>
  <c r="J14" i="1"/>
  <c r="C17" i="1"/>
  <c r="J1" i="1"/>
  <c r="E24" i="1"/>
  <c r="C8" i="1"/>
  <c r="C16" i="1"/>
  <c r="E12" i="1"/>
  <c r="D11" i="1"/>
  <c r="D10" i="1"/>
  <c r="D29" i="1"/>
  <c r="G24" i="1"/>
  <c r="G25" i="1"/>
  <c r="E30" i="1"/>
  <c r="E11" i="1"/>
  <c r="F28" i="1"/>
  <c r="H4" i="1"/>
  <c r="I11" i="1"/>
  <c r="J28" i="1"/>
  <c r="B3" i="1"/>
  <c r="F12" i="1"/>
  <c r="B14" i="1"/>
  <c r="G18" i="1"/>
  <c r="D23" i="1"/>
  <c r="E6" i="1"/>
  <c r="G1" i="1"/>
  <c r="I14" i="1"/>
  <c r="B5" i="1"/>
  <c r="J5" i="1"/>
  <c r="D17" i="1"/>
  <c r="G10" i="1"/>
  <c r="J11" i="1"/>
  <c r="H14" i="1"/>
  <c r="B2" i="1"/>
  <c r="H25" i="1"/>
  <c r="C5" i="1"/>
  <c r="E9" i="1"/>
  <c r="I5" i="1"/>
  <c r="C20" i="1"/>
  <c r="D26" i="1"/>
  <c r="F11" i="1"/>
  <c r="I12" i="1"/>
  <c r="G31" i="1"/>
  <c r="I24" i="1"/>
  <c r="F1" i="1"/>
  <c r="F7" i="1"/>
  <c r="F6" i="1"/>
  <c r="C7" i="1"/>
  <c r="B23" i="1"/>
  <c r="F3" i="1"/>
  <c r="F26" i="1"/>
  <c r="J9" i="1"/>
  <c r="C11" i="1"/>
  <c r="D27" i="1"/>
  <c r="J12" i="1"/>
  <c r="E7" i="1"/>
  <c r="J10" i="1"/>
  <c r="J22" i="1"/>
  <c r="F13" i="1"/>
  <c r="F16" i="1"/>
  <c r="H27" i="1"/>
  <c r="F27" i="1"/>
  <c r="G23" i="1"/>
  <c r="F24" i="1"/>
  <c r="F29" i="1"/>
  <c r="H28" i="1"/>
  <c r="G28" i="1"/>
  <c r="B25" i="1"/>
  <c r="C23" i="1"/>
  <c r="G29" i="1"/>
  <c r="E21" i="1"/>
  <c r="B16" i="1"/>
  <c r="C31" i="1"/>
  <c r="H26" i="1"/>
  <c r="D16" i="1"/>
  <c r="G6" i="1"/>
  <c r="D12" i="1"/>
  <c r="H7" i="1"/>
  <c r="H13" i="1"/>
  <c r="J19" i="1"/>
  <c r="B8" i="1"/>
  <c r="G12" i="1"/>
  <c r="J24" i="1"/>
  <c r="F15" i="1"/>
  <c r="F5" i="1"/>
  <c r="I8" i="1"/>
  <c r="C1" i="1"/>
  <c r="C21" i="1"/>
  <c r="F4" i="1"/>
  <c r="I26" i="1"/>
  <c r="I25" i="1"/>
  <c r="C25" i="1"/>
  <c r="H29" i="1"/>
  <c r="H24" i="1"/>
  <c r="I18" i="1"/>
  <c r="E28" i="1"/>
  <c r="B7" i="1"/>
  <c r="D5" i="1"/>
  <c r="B15" i="1"/>
  <c r="H19" i="1"/>
  <c r="C30" i="1"/>
  <c r="I4" i="1"/>
  <c r="H31" i="1"/>
  <c r="B30" i="1"/>
  <c r="J6" i="1"/>
  <c r="I20" i="1"/>
  <c r="J26" i="1"/>
  <c r="B28" i="1"/>
  <c r="B19" i="1"/>
  <c r="H10" i="1"/>
  <c r="C3" i="1"/>
  <c r="H30" i="1"/>
  <c r="D8" i="1"/>
  <c r="G17" i="1"/>
  <c r="D21" i="1"/>
  <c r="H5" i="1"/>
  <c r="B4" i="1"/>
  <c r="E23" i="1"/>
  <c r="D30" i="1"/>
  <c r="H18" i="1"/>
  <c r="H17" i="1"/>
  <c r="F31" i="1"/>
  <c r="E14" i="1"/>
  <c r="I7" i="1"/>
  <c r="I22" i="1"/>
  <c r="H6" i="1"/>
  <c r="D25" i="1"/>
  <c r="D3" i="1"/>
  <c r="B9" i="1"/>
  <c r="D18" i="1"/>
  <c r="I2" i="1"/>
  <c r="J3" i="1"/>
  <c r="I10" i="1"/>
  <c r="C27" i="1"/>
  <c r="I28" i="1"/>
  <c r="J21" i="1"/>
  <c r="H15" i="1"/>
  <c r="B21" i="1"/>
  <c r="F2" i="1"/>
  <c r="H3" i="1"/>
  <c r="I29" i="1"/>
  <c r="I31" i="1"/>
  <c r="C4" i="1"/>
  <c r="G21" i="1"/>
  <c r="C9" i="1"/>
  <c r="F20" i="1"/>
  <c r="H11" i="1"/>
  <c r="B13" i="1"/>
  <c r="C6" i="1"/>
  <c r="E3" i="1"/>
  <c r="F18" i="1"/>
  <c r="I15" i="1"/>
  <c r="D31" i="1"/>
  <c r="D1" i="1"/>
  <c r="G26" i="1"/>
  <c r="E2" i="1"/>
  <c r="E16" i="1"/>
  <c r="E13" i="1"/>
  <c r="C13" i="1"/>
  <c r="J29" i="1"/>
  <c r="C29" i="1"/>
  <c r="B17" i="1"/>
  <c r="I3" i="1"/>
  <c r="J2" i="1"/>
  <c r="E27" i="1"/>
  <c r="C15" i="1"/>
  <c r="D7" i="1"/>
  <c r="D15" i="1"/>
  <c r="J27" i="1"/>
  <c r="C2" i="1"/>
  <c r="I27" i="1"/>
  <c r="H12" i="1"/>
  <c r="D19" i="1"/>
  <c r="I17" i="1"/>
  <c r="D9" i="1"/>
  <c r="G30" i="1"/>
  <c r="E8" i="1"/>
  <c r="E29" i="1"/>
  <c r="I16" i="1"/>
  <c r="J23" i="1"/>
  <c r="J30" i="1"/>
  <c r="I9" i="1"/>
  <c r="C18" i="1"/>
  <c r="B31" i="1"/>
  <c r="D2" i="1"/>
  <c r="J13" i="1"/>
  <c r="E18" i="1"/>
  <c r="B24" i="1"/>
  <c r="D22" i="1"/>
  <c r="E17" i="1"/>
  <c r="D4" i="1"/>
  <c r="F22" i="1"/>
  <c r="I1" i="1"/>
  <c r="J4" i="1"/>
  <c r="B27" i="1"/>
  <c r="F23" i="1"/>
  <c r="B11" i="1"/>
  <c r="G13" i="1"/>
  <c r="B6" i="1"/>
  <c r="G9" i="1"/>
  <c r="J15" i="1"/>
  <c r="G3" i="1"/>
  <c r="B29" i="1"/>
  <c r="E31" i="1"/>
  <c r="J25" i="1"/>
  <c r="G27" i="1"/>
  <c r="D24" i="1"/>
  <c r="C10" i="1"/>
  <c r="B18" i="1"/>
  <c r="G20" i="1"/>
  <c r="B1" i="1"/>
  <c r="F19" i="1"/>
  <c r="F14" i="1"/>
</calcChain>
</file>

<file path=xl/sharedStrings.xml><?xml version="1.0" encoding="utf-8"?>
<sst xmlns="http://schemas.openxmlformats.org/spreadsheetml/2006/main" count="33" uniqueCount="33">
  <si>
    <t>Ballpark</t>
  </si>
  <si>
    <t>Latitude</t>
  </si>
  <si>
    <t>Longitude</t>
  </si>
  <si>
    <t>American Family Field</t>
  </si>
  <si>
    <t>Angel Stadium</t>
  </si>
  <si>
    <t>Busch Stadium</t>
  </si>
  <si>
    <t>Chase Field</t>
  </si>
  <si>
    <t>Citi Field</t>
  </si>
  <si>
    <t>Citizens Bank Park</t>
  </si>
  <si>
    <t>Comerica Park</t>
  </si>
  <si>
    <t>Coors Field</t>
  </si>
  <si>
    <t>Dodger Stadium</t>
  </si>
  <si>
    <t>Fenway Park</t>
  </si>
  <si>
    <t>Globe Life Field</t>
  </si>
  <si>
    <t>Great American Ball Park</t>
  </si>
  <si>
    <t>Guaranteed Rate Field</t>
  </si>
  <si>
    <t>Kauffman Stadium</t>
  </si>
  <si>
    <t>LoanDepot Park</t>
  </si>
  <si>
    <t>Minute Maid Park</t>
  </si>
  <si>
    <t>Nationals Park</t>
  </si>
  <si>
    <t>Oakland Coliseum</t>
  </si>
  <si>
    <t>Oracle Park</t>
  </si>
  <si>
    <t>Oriole Park at Camden Yards</t>
  </si>
  <si>
    <t>Petco Park</t>
  </si>
  <si>
    <t>PNC Park</t>
  </si>
  <si>
    <t>Progressive Field</t>
  </si>
  <si>
    <t>Rogers Centre</t>
  </si>
  <si>
    <t>T-Mobile Park</t>
  </si>
  <si>
    <t>Target Field</t>
  </si>
  <si>
    <t>Tropicana Field</t>
  </si>
  <si>
    <t>Truist Park</t>
  </si>
  <si>
    <t>Wrigley Field</t>
  </si>
  <si>
    <t>Yankee Stadium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</si>
</sst>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3" fontId="1" fillId="0" borderId="0" xfId="0" applyNumberFormat="1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1"/>
  <sheetViews>
    <sheetView tabSelected="1" topLeftCell="H1" workbookViewId="0">
      <selection activeCell="P9" sqref="P9"/>
    </sheetView>
  </sheetViews>
  <sheetFormatPr defaultColWidth="14.42578125" defaultRowHeight="15.75" customHeight="1" x14ac:dyDescent="0.2"/>
  <cols>
    <col min="12" max="13" width="14.42578125" customWidth="1"/>
    <col min="15" max="16" width="14.42578125" customWidth="1"/>
  </cols>
  <sheetData>
    <row r="1" spans="1:16" x14ac:dyDescent="0.2">
      <c r="A1" s="1" t="str">
        <f ca="1">IFERROR(__xludf.DUMMYFUNCTION("importhtml(""https://en.wikipedia.org/wiki/List_of_current_Major_League_Baseball_stadiums"",""table"",2)"),"Loading...")</f>
        <v>Loading...</v>
      </c>
      <c r="B1" s="1" t="str">
        <f ca="1">IFERROR(__xludf.DUMMYFUNCTION("""COMPUTED_VALUE"""),"Name")</f>
        <v>Name</v>
      </c>
      <c r="C1" s="1" t="str">
        <f ca="1">IFERROR(__xludf.DUMMYFUNCTION("""COMPUTED_VALUE"""),"Capacity")</f>
        <v>Capacity</v>
      </c>
      <c r="D1" s="1" t="str">
        <f ca="1">IFERROR(__xludf.DUMMYFUNCTION("""COMPUTED_VALUE"""),"Location")</f>
        <v>Location</v>
      </c>
      <c r="E1" s="1" t="str">
        <f ca="1">IFERROR(__xludf.DUMMYFUNCTION("""COMPUTED_VALUE"""),"Surface")</f>
        <v>Surface</v>
      </c>
      <c r="F1" s="1" t="str">
        <f ca="1">IFERROR(__xludf.DUMMYFUNCTION("""COMPUTED_VALUE"""),"Team")</f>
        <v>Team</v>
      </c>
      <c r="G1" s="1" t="str">
        <f ca="1">IFERROR(__xludf.DUMMYFUNCTION("""COMPUTED_VALUE"""),"Opened")</f>
        <v>Opened</v>
      </c>
      <c r="H1" s="1" t="str">
        <f ca="1">IFERROR(__xludf.DUMMYFUNCTION("""COMPUTED_VALUE"""),"Distance to center field")</f>
        <v>Distance to center field</v>
      </c>
      <c r="I1" s="1" t="str">
        <f ca="1">IFERROR(__xludf.DUMMYFUNCTION("""COMPUTED_VALUE"""),"Type")</f>
        <v>Type</v>
      </c>
      <c r="J1" s="1" t="str">
        <f ca="1">IFERROR(__xludf.DUMMYFUNCTION("""COMPUTED_VALUE"""),"Roof type")</f>
        <v>Roof type</v>
      </c>
      <c r="K1" s="2" t="s">
        <v>0</v>
      </c>
      <c r="L1" s="3" t="s">
        <v>1</v>
      </c>
      <c r="M1" s="3" t="s">
        <v>2</v>
      </c>
      <c r="N1" s="2"/>
      <c r="O1" s="3"/>
      <c r="P1" s="3"/>
    </row>
    <row r="2" spans="1:16" x14ac:dyDescent="0.2">
      <c r="A2" s="1"/>
      <c r="B2" s="1" t="str">
        <f ca="1">IFERROR(__xludf.DUMMYFUNCTION("""COMPUTED_VALUE"""),"American Family Field")</f>
        <v>American Family Field</v>
      </c>
      <c r="C2" s="1" t="str">
        <f ca="1">IFERROR(__xludf.DUMMYFUNCTION("""COMPUTED_VALUE"""),"41,900[1]")</f>
        <v>41,900[1]</v>
      </c>
      <c r="D2" s="1" t="str">
        <f ca="1">IFERROR(__xludf.DUMMYFUNCTION("""COMPUTED_VALUE"""),"Milwaukee, Wisconsin")</f>
        <v>Milwaukee, Wisconsin</v>
      </c>
      <c r="E2" s="1" t="str">
        <f ca="1">IFERROR(__xludf.DUMMYFUNCTION("""COMPUTED_VALUE"""),"Grass")</f>
        <v>Grass</v>
      </c>
      <c r="F2" s="1" t="str">
        <f ca="1">IFERROR(__xludf.DUMMYFUNCTION("""COMPUTED_VALUE"""),"Milwaukee Brewers")</f>
        <v>Milwaukee Brewers</v>
      </c>
      <c r="G2" s="1">
        <f ca="1">IFERROR(__xludf.DUMMYFUNCTION("""COMPUTED_VALUE"""),2001)</f>
        <v>2001</v>
      </c>
      <c r="H2" s="1" t="str">
        <f ca="1">IFERROR(__xludf.DUMMYFUNCTION("""COMPUTED_VALUE"""),"400 feet (122 m)")</f>
        <v>400 feet (122 m)</v>
      </c>
      <c r="I2" s="1" t="str">
        <f ca="1">IFERROR(__xludf.DUMMYFUNCTION("""COMPUTED_VALUE"""),"Retro-modern")</f>
        <v>Retro-modern</v>
      </c>
      <c r="J2" s="1" t="str">
        <f ca="1">IFERROR(__xludf.DUMMYFUNCTION("""COMPUTED_VALUE"""),"Retractable")</f>
        <v>Retractable</v>
      </c>
      <c r="K2" s="1" t="s">
        <v>3</v>
      </c>
      <c r="L2" s="2">
        <v>43.0279776</v>
      </c>
      <c r="M2" s="2">
        <v>-87.971150399999999</v>
      </c>
      <c r="N2" s="3"/>
      <c r="O2" s="3"/>
      <c r="P2" s="3"/>
    </row>
    <row r="3" spans="1:16" x14ac:dyDescent="0.2">
      <c r="A3" s="1"/>
      <c r="B3" s="1" t="str">
        <f ca="1">IFERROR(__xludf.DUMMYFUNCTION("""COMPUTED_VALUE"""),"Angel Stadium")</f>
        <v>Angel Stadium</v>
      </c>
      <c r="C3" s="1" t="str">
        <f ca="1">IFERROR(__xludf.DUMMYFUNCTION("""COMPUTED_VALUE"""),"45,517[2]")</f>
        <v>45,517[2]</v>
      </c>
      <c r="D3" s="1" t="str">
        <f ca="1">IFERROR(__xludf.DUMMYFUNCTION("""COMPUTED_VALUE"""),"Anaheim, California")</f>
        <v>Anaheim, California</v>
      </c>
      <c r="E3" s="1" t="str">
        <f ca="1">IFERROR(__xludf.DUMMYFUNCTION("""COMPUTED_VALUE"""),"Grass")</f>
        <v>Grass</v>
      </c>
      <c r="F3" s="1" t="str">
        <f ca="1">IFERROR(__xludf.DUMMYFUNCTION("""COMPUTED_VALUE"""),"Los Angeles Angels")</f>
        <v>Los Angeles Angels</v>
      </c>
      <c r="G3" s="1">
        <f ca="1">IFERROR(__xludf.DUMMYFUNCTION("""COMPUTED_VALUE"""),1966)</f>
        <v>1966</v>
      </c>
      <c r="H3" s="1" t="str">
        <f ca="1">IFERROR(__xludf.DUMMYFUNCTION("""COMPUTED_VALUE"""),"396 feet (121 m)")</f>
        <v>396 feet (121 m)</v>
      </c>
      <c r="I3" s="1" t="str">
        <f ca="1">IFERROR(__xludf.DUMMYFUNCTION("""COMPUTED_VALUE"""),"Modern
Retro-modern")</f>
        <v>Modern
Retro-modern</v>
      </c>
      <c r="J3" s="1" t="str">
        <f ca="1">IFERROR(__xludf.DUMMYFUNCTION("""COMPUTED_VALUE"""),"Open")</f>
        <v>Open</v>
      </c>
      <c r="K3" s="1" t="s">
        <v>4</v>
      </c>
      <c r="L3" s="2">
        <v>33.800308000000001</v>
      </c>
      <c r="M3" s="2">
        <v>-117.8827321</v>
      </c>
      <c r="N3" s="2"/>
      <c r="O3" s="3"/>
      <c r="P3" s="3"/>
    </row>
    <row r="4" spans="1:16" x14ac:dyDescent="0.2">
      <c r="A4" s="1"/>
      <c r="B4" s="1" t="str">
        <f ca="1">IFERROR(__xludf.DUMMYFUNCTION("""COMPUTED_VALUE"""),"Busch Stadium")</f>
        <v>Busch Stadium</v>
      </c>
      <c r="C4" s="1" t="str">
        <f ca="1">IFERROR(__xludf.DUMMYFUNCTION("""COMPUTED_VALUE"""),"45,494[3]")</f>
        <v>45,494[3]</v>
      </c>
      <c r="D4" s="1" t="str">
        <f ca="1">IFERROR(__xludf.DUMMYFUNCTION("""COMPUTED_VALUE"""),"St. Louis, Missouri")</f>
        <v>St. Louis, Missouri</v>
      </c>
      <c r="E4" s="1" t="str">
        <f ca="1">IFERROR(__xludf.DUMMYFUNCTION("""COMPUTED_VALUE"""),"Grass")</f>
        <v>Grass</v>
      </c>
      <c r="F4" s="1" t="str">
        <f ca="1">IFERROR(__xludf.DUMMYFUNCTION("""COMPUTED_VALUE"""),"St. Louis Cardinals")</f>
        <v>St. Louis Cardinals</v>
      </c>
      <c r="G4" s="1">
        <f ca="1">IFERROR(__xludf.DUMMYFUNCTION("""COMPUTED_VALUE"""),2006)</f>
        <v>2006</v>
      </c>
      <c r="H4" s="1" t="str">
        <f ca="1">IFERROR(__xludf.DUMMYFUNCTION("""COMPUTED_VALUE"""),"400 feet (122 m)")</f>
        <v>400 feet (122 m)</v>
      </c>
      <c r="I4" s="1" t="str">
        <f ca="1">IFERROR(__xludf.DUMMYFUNCTION("""COMPUTED_VALUE"""),"Retro-classic")</f>
        <v>Retro-classic</v>
      </c>
      <c r="J4" s="1" t="str">
        <f ca="1">IFERROR(__xludf.DUMMYFUNCTION("""COMPUTED_VALUE"""),"Open")</f>
        <v>Open</v>
      </c>
      <c r="K4" s="1" t="s">
        <v>5</v>
      </c>
      <c r="L4" s="2">
        <v>38.622618799999998</v>
      </c>
      <c r="M4" s="2">
        <v>-90.192820900000001</v>
      </c>
      <c r="N4" s="2"/>
      <c r="O4" s="2"/>
      <c r="P4" s="2"/>
    </row>
    <row r="5" spans="1:16" x14ac:dyDescent="0.2">
      <c r="A5" s="1"/>
      <c r="B5" s="1" t="str">
        <f ca="1">IFERROR(__xludf.DUMMYFUNCTION("""COMPUTED_VALUE"""),"Chase Field")</f>
        <v>Chase Field</v>
      </c>
      <c r="C5" s="1" t="str">
        <f ca="1">IFERROR(__xludf.DUMMYFUNCTION("""COMPUTED_VALUE"""),"48,405[4]")</f>
        <v>48,405[4]</v>
      </c>
      <c r="D5" s="1" t="str">
        <f ca="1">IFERROR(__xludf.DUMMYFUNCTION("""COMPUTED_VALUE"""),"Phoenix, Arizona")</f>
        <v>Phoenix, Arizona</v>
      </c>
      <c r="E5" s="1" t="str">
        <f ca="1">IFERROR(__xludf.DUMMYFUNCTION("""COMPUTED_VALUE"""),"Artificial turf")</f>
        <v>Artificial turf</v>
      </c>
      <c r="F5" s="1" t="str">
        <f ca="1">IFERROR(__xludf.DUMMYFUNCTION("""COMPUTED_VALUE"""),"Arizona Diamondbacks")</f>
        <v>Arizona Diamondbacks</v>
      </c>
      <c r="G5" s="1">
        <f ca="1">IFERROR(__xludf.DUMMYFUNCTION("""COMPUTED_VALUE"""),1998)</f>
        <v>1998</v>
      </c>
      <c r="H5" s="1" t="str">
        <f ca="1">IFERROR(__xludf.DUMMYFUNCTION("""COMPUTED_VALUE"""),"407 feet (124 m)")</f>
        <v>407 feet (124 m)</v>
      </c>
      <c r="I5" s="1" t="str">
        <f ca="1">IFERROR(__xludf.DUMMYFUNCTION("""COMPUTED_VALUE"""),"Retro-modern")</f>
        <v>Retro-modern</v>
      </c>
      <c r="J5" s="1" t="str">
        <f ca="1">IFERROR(__xludf.DUMMYFUNCTION("""COMPUTED_VALUE"""),"Retractable")</f>
        <v>Retractable</v>
      </c>
      <c r="K5" s="1" t="s">
        <v>6</v>
      </c>
      <c r="L5" s="2">
        <v>33.4453344</v>
      </c>
      <c r="M5" s="2">
        <v>-112.0667091</v>
      </c>
      <c r="N5" s="2"/>
      <c r="O5" s="2"/>
      <c r="P5" s="2"/>
    </row>
    <row r="6" spans="1:16" x14ac:dyDescent="0.2">
      <c r="A6" s="1"/>
      <c r="B6" s="1" t="str">
        <f ca="1">IFERROR(__xludf.DUMMYFUNCTION("""COMPUTED_VALUE"""),"Citi Field")</f>
        <v>Citi Field</v>
      </c>
      <c r="C6" s="1" t="str">
        <f ca="1">IFERROR(__xludf.DUMMYFUNCTION("""COMPUTED_VALUE"""),"41,922[5]")</f>
        <v>41,922[5]</v>
      </c>
      <c r="D6" s="1" t="str">
        <f ca="1">IFERROR(__xludf.DUMMYFUNCTION("""COMPUTED_VALUE"""),"Queens, New York")</f>
        <v>Queens, New York</v>
      </c>
      <c r="E6" s="1" t="str">
        <f ca="1">IFERROR(__xludf.DUMMYFUNCTION("""COMPUTED_VALUE"""),"Grass")</f>
        <v>Grass</v>
      </c>
      <c r="F6" s="1" t="str">
        <f ca="1">IFERROR(__xludf.DUMMYFUNCTION("""COMPUTED_VALUE"""),"New York Mets")</f>
        <v>New York Mets</v>
      </c>
      <c r="G6" s="1">
        <f ca="1">IFERROR(__xludf.DUMMYFUNCTION("""COMPUTED_VALUE"""),2009)</f>
        <v>2009</v>
      </c>
      <c r="H6" s="1" t="str">
        <f ca="1">IFERROR(__xludf.DUMMYFUNCTION("""COMPUTED_VALUE"""),"408 feet (124 m)")</f>
        <v>408 feet (124 m)</v>
      </c>
      <c r="I6" s="1" t="str">
        <f ca="1">IFERROR(__xludf.DUMMYFUNCTION("""COMPUTED_VALUE"""),"Retro-classic")</f>
        <v>Retro-classic</v>
      </c>
      <c r="J6" s="1" t="str">
        <f ca="1">IFERROR(__xludf.DUMMYFUNCTION("""COMPUTED_VALUE"""),"Open")</f>
        <v>Open</v>
      </c>
      <c r="K6" s="1" t="s">
        <v>7</v>
      </c>
      <c r="L6" s="2">
        <v>40.7570877</v>
      </c>
      <c r="M6" s="2">
        <v>-73.845821299999997</v>
      </c>
      <c r="N6" s="2"/>
      <c r="O6" s="2"/>
      <c r="P6" s="2"/>
    </row>
    <row r="7" spans="1:16" x14ac:dyDescent="0.2">
      <c r="A7" s="1"/>
      <c r="B7" s="1" t="str">
        <f ca="1">IFERROR(__xludf.DUMMYFUNCTION("""COMPUTED_VALUE"""),"Citizens Bank Park")</f>
        <v>Citizens Bank Park</v>
      </c>
      <c r="C7" s="1" t="str">
        <f ca="1">IFERROR(__xludf.DUMMYFUNCTION("""COMPUTED_VALUE"""),"42,792[6]")</f>
        <v>42,792[6]</v>
      </c>
      <c r="D7" s="1" t="str">
        <f ca="1">IFERROR(__xludf.DUMMYFUNCTION("""COMPUTED_VALUE"""),"Philadelphia, Pennsylvania")</f>
        <v>Philadelphia, Pennsylvania</v>
      </c>
      <c r="E7" s="1" t="str">
        <f ca="1">IFERROR(__xludf.DUMMYFUNCTION("""COMPUTED_VALUE"""),"Grass")</f>
        <v>Grass</v>
      </c>
      <c r="F7" s="1" t="str">
        <f ca="1">IFERROR(__xludf.DUMMYFUNCTION("""COMPUTED_VALUE"""),"Philadelphia Phillies")</f>
        <v>Philadelphia Phillies</v>
      </c>
      <c r="G7" s="1">
        <f ca="1">IFERROR(__xludf.DUMMYFUNCTION("""COMPUTED_VALUE"""),2004)</f>
        <v>2004</v>
      </c>
      <c r="H7" s="1" t="str">
        <f ca="1">IFERROR(__xludf.DUMMYFUNCTION("""COMPUTED_VALUE"""),"401 feet (122 m)")</f>
        <v>401 feet (122 m)</v>
      </c>
      <c r="I7" s="1" t="str">
        <f ca="1">IFERROR(__xludf.DUMMYFUNCTION("""COMPUTED_VALUE"""),"Retro-classic")</f>
        <v>Retro-classic</v>
      </c>
      <c r="J7" s="1" t="str">
        <f ca="1">IFERROR(__xludf.DUMMYFUNCTION("""COMPUTED_VALUE"""),"Open")</f>
        <v>Open</v>
      </c>
      <c r="K7" s="1" t="s">
        <v>8</v>
      </c>
      <c r="L7" s="2">
        <v>39.906057199999999</v>
      </c>
      <c r="M7" s="2">
        <v>-75.1664952</v>
      </c>
      <c r="N7" s="3"/>
      <c r="O7" s="2"/>
      <c r="P7" s="2"/>
    </row>
    <row r="8" spans="1:16" x14ac:dyDescent="0.2">
      <c r="A8" s="1"/>
      <c r="B8" s="1" t="str">
        <f ca="1">IFERROR(__xludf.DUMMYFUNCTION("""COMPUTED_VALUE"""),"Comerica Park")</f>
        <v>Comerica Park</v>
      </c>
      <c r="C8" s="1" t="str">
        <f ca="1">IFERROR(__xludf.DUMMYFUNCTION("""COMPUTED_VALUE"""),"41,083[7]")</f>
        <v>41,083[7]</v>
      </c>
      <c r="D8" s="1" t="str">
        <f ca="1">IFERROR(__xludf.DUMMYFUNCTION("""COMPUTED_VALUE"""),"Detroit, Michigan")</f>
        <v>Detroit, Michigan</v>
      </c>
      <c r="E8" s="1" t="str">
        <f ca="1">IFERROR(__xludf.DUMMYFUNCTION("""COMPUTED_VALUE"""),"Grass")</f>
        <v>Grass</v>
      </c>
      <c r="F8" s="1" t="str">
        <f ca="1">IFERROR(__xludf.DUMMYFUNCTION("""COMPUTED_VALUE"""),"Detroit Tigers")</f>
        <v>Detroit Tigers</v>
      </c>
      <c r="G8" s="1">
        <f ca="1">IFERROR(__xludf.DUMMYFUNCTION("""COMPUTED_VALUE"""),2000)</f>
        <v>2000</v>
      </c>
      <c r="H8" s="1" t="str">
        <f ca="1">IFERROR(__xludf.DUMMYFUNCTION("""COMPUTED_VALUE"""),"420 feet (128 m)")</f>
        <v>420 feet (128 m)</v>
      </c>
      <c r="I8" s="1" t="str">
        <f ca="1">IFERROR(__xludf.DUMMYFUNCTION("""COMPUTED_VALUE"""),"Retro-classic")</f>
        <v>Retro-classic</v>
      </c>
      <c r="J8" s="1" t="str">
        <f ca="1">IFERROR(__xludf.DUMMYFUNCTION("""COMPUTED_VALUE"""),"Open")</f>
        <v>Open</v>
      </c>
      <c r="K8" s="1" t="s">
        <v>9</v>
      </c>
      <c r="L8" s="2">
        <v>42.338998400000001</v>
      </c>
      <c r="M8" s="2">
        <v>-83.0485197</v>
      </c>
    </row>
    <row r="9" spans="1:16" x14ac:dyDescent="0.2">
      <c r="A9" s="1"/>
      <c r="B9" s="1" t="str">
        <f ca="1">IFERROR(__xludf.DUMMYFUNCTION("""COMPUTED_VALUE"""),"Coors Field")</f>
        <v>Coors Field</v>
      </c>
      <c r="C9" s="1" t="str">
        <f ca="1">IFERROR(__xludf.DUMMYFUNCTION("""COMPUTED_VALUE"""),"50,144[8]")</f>
        <v>50,144[8]</v>
      </c>
      <c r="D9" s="1" t="str">
        <f ca="1">IFERROR(__xludf.DUMMYFUNCTION("""COMPUTED_VALUE"""),"Denver, Colorado")</f>
        <v>Denver, Colorado</v>
      </c>
      <c r="E9" s="1" t="str">
        <f ca="1">IFERROR(__xludf.DUMMYFUNCTION("""COMPUTED_VALUE"""),"Grass")</f>
        <v>Grass</v>
      </c>
      <c r="F9" s="1" t="str">
        <f ca="1">IFERROR(__xludf.DUMMYFUNCTION("""COMPUTED_VALUE"""),"Colorado Rockies")</f>
        <v>Colorado Rockies</v>
      </c>
      <c r="G9" s="1">
        <f ca="1">IFERROR(__xludf.DUMMYFUNCTION("""COMPUTED_VALUE"""),1995)</f>
        <v>1995</v>
      </c>
      <c r="H9" s="1" t="str">
        <f ca="1">IFERROR(__xludf.DUMMYFUNCTION("""COMPUTED_VALUE"""),"415 feet (126 m)")</f>
        <v>415 feet (126 m)</v>
      </c>
      <c r="I9" s="1" t="str">
        <f ca="1">IFERROR(__xludf.DUMMYFUNCTION("""COMPUTED_VALUE"""),"Retro-classic")</f>
        <v>Retro-classic</v>
      </c>
      <c r="J9" s="1" t="str">
        <f ca="1">IFERROR(__xludf.DUMMYFUNCTION("""COMPUTED_VALUE"""),"Open")</f>
        <v>Open</v>
      </c>
      <c r="K9" s="1" t="s">
        <v>10</v>
      </c>
      <c r="L9" s="2">
        <v>39.755882300000003</v>
      </c>
      <c r="M9" s="2">
        <v>-104.9941781</v>
      </c>
    </row>
    <row r="10" spans="1:16" x14ac:dyDescent="0.2">
      <c r="A10" s="1"/>
      <c r="B10" s="1" t="str">
        <f ca="1">IFERROR(__xludf.DUMMYFUNCTION("""COMPUTED_VALUE"""),"Dodger Stadium")</f>
        <v>Dodger Stadium</v>
      </c>
      <c r="C10" s="1" t="str">
        <f ca="1">IFERROR(__xludf.DUMMYFUNCTION("""COMPUTED_VALUE"""),"56,000[9]")</f>
        <v>56,000[9]</v>
      </c>
      <c r="D10" s="1" t="str">
        <f ca="1">IFERROR(__xludf.DUMMYFUNCTION("""COMPUTED_VALUE"""),"Los Angeles, California")</f>
        <v>Los Angeles, California</v>
      </c>
      <c r="E10" s="1" t="str">
        <f ca="1">IFERROR(__xludf.DUMMYFUNCTION("""COMPUTED_VALUE"""),"Grass")</f>
        <v>Grass</v>
      </c>
      <c r="F10" s="1" t="str">
        <f ca="1">IFERROR(__xludf.DUMMYFUNCTION("""COMPUTED_VALUE"""),"Los Angeles Dodgers[nb 2]")</f>
        <v>Los Angeles Dodgers[nb 2]</v>
      </c>
      <c r="G10" s="1">
        <f ca="1">IFERROR(__xludf.DUMMYFUNCTION("""COMPUTED_VALUE"""),1962)</f>
        <v>1962</v>
      </c>
      <c r="H10" s="1" t="str">
        <f ca="1">IFERROR(__xludf.DUMMYFUNCTION("""COMPUTED_VALUE"""),"395 feet (120 m)")</f>
        <v>395 feet (120 m)</v>
      </c>
      <c r="I10" s="1" t="str">
        <f ca="1">IFERROR(__xludf.DUMMYFUNCTION("""COMPUTED_VALUE"""),"Modern")</f>
        <v>Modern</v>
      </c>
      <c r="J10" s="1" t="str">
        <f ca="1">IFERROR(__xludf.DUMMYFUNCTION("""COMPUTED_VALUE"""),"Open")</f>
        <v>Open</v>
      </c>
      <c r="K10" s="1" t="s">
        <v>11</v>
      </c>
      <c r="L10" s="2">
        <v>34.073850999999998</v>
      </c>
      <c r="M10" s="2">
        <v>-118.2399583</v>
      </c>
    </row>
    <row r="11" spans="1:16" x14ac:dyDescent="0.2">
      <c r="A11" s="1"/>
      <c r="B11" s="1" t="str">
        <f ca="1">IFERROR(__xludf.DUMMYFUNCTION("""COMPUTED_VALUE"""),"Fenway Park")</f>
        <v>Fenway Park</v>
      </c>
      <c r="C11" s="1" t="str">
        <f ca="1">IFERROR(__xludf.DUMMYFUNCTION("""COMPUTED_VALUE"""),"37,755[10]")</f>
        <v>37,755[10]</v>
      </c>
      <c r="D11" s="1" t="str">
        <f ca="1">IFERROR(__xludf.DUMMYFUNCTION("""COMPUTED_VALUE"""),"Boston, Massachusetts")</f>
        <v>Boston, Massachusetts</v>
      </c>
      <c r="E11" s="1" t="str">
        <f ca="1">IFERROR(__xludf.DUMMYFUNCTION("""COMPUTED_VALUE"""),"Grass")</f>
        <v>Grass</v>
      </c>
      <c r="F11" s="1" t="str">
        <f ca="1">IFERROR(__xludf.DUMMYFUNCTION("""COMPUTED_VALUE"""),"Boston Red Sox[nb 3]")</f>
        <v>Boston Red Sox[nb 3]</v>
      </c>
      <c r="G11" s="1">
        <f ca="1">IFERROR(__xludf.DUMMYFUNCTION("""COMPUTED_VALUE"""),1912)</f>
        <v>1912</v>
      </c>
      <c r="H11" s="1" t="str">
        <f ca="1">IFERROR(__xludf.DUMMYFUNCTION("""COMPUTED_VALUE"""),"390 feet (119 m)")</f>
        <v>390 feet (119 m)</v>
      </c>
      <c r="I11" s="1" t="str">
        <f ca="1">IFERROR(__xludf.DUMMYFUNCTION("""COMPUTED_VALUE"""),"Jewel box")</f>
        <v>Jewel box</v>
      </c>
      <c r="J11" s="1" t="str">
        <f ca="1">IFERROR(__xludf.DUMMYFUNCTION("""COMPUTED_VALUE"""),"Open")</f>
        <v>Open</v>
      </c>
      <c r="K11" s="1" t="s">
        <v>12</v>
      </c>
      <c r="L11" s="2">
        <v>42.3466764</v>
      </c>
      <c r="M11" s="2">
        <v>-71.097217799999996</v>
      </c>
    </row>
    <row r="12" spans="1:16" x14ac:dyDescent="0.2">
      <c r="A12" s="1"/>
      <c r="B12" s="1" t="str">
        <f ca="1">IFERROR(__xludf.DUMMYFUNCTION("""COMPUTED_VALUE"""),"Globe Life Field")</f>
        <v>Globe Life Field</v>
      </c>
      <c r="C12" s="1" t="str">
        <f ca="1">IFERROR(__xludf.DUMMYFUNCTION("""COMPUTED_VALUE"""),"40,300[11]")</f>
        <v>40,300[11]</v>
      </c>
      <c r="D12" s="1" t="str">
        <f ca="1">IFERROR(__xludf.DUMMYFUNCTION("""COMPUTED_VALUE"""),"Arlington, Texas")</f>
        <v>Arlington, Texas</v>
      </c>
      <c r="E12" s="1" t="str">
        <f ca="1">IFERROR(__xludf.DUMMYFUNCTION("""COMPUTED_VALUE"""),"Artificial turf")</f>
        <v>Artificial turf</v>
      </c>
      <c r="F12" s="1" t="str">
        <f ca="1">IFERROR(__xludf.DUMMYFUNCTION("""COMPUTED_VALUE"""),"Texas Rangers")</f>
        <v>Texas Rangers</v>
      </c>
      <c r="G12" s="1">
        <f ca="1">IFERROR(__xludf.DUMMYFUNCTION("""COMPUTED_VALUE"""),2020)</f>
        <v>2020</v>
      </c>
      <c r="H12" s="1" t="str">
        <f ca="1">IFERROR(__xludf.DUMMYFUNCTION("""COMPUTED_VALUE"""),"407 feet (124 m)")</f>
        <v>407 feet (124 m)</v>
      </c>
      <c r="I12" s="1" t="str">
        <f ca="1">IFERROR(__xludf.DUMMYFUNCTION("""COMPUTED_VALUE"""),"Retro-modern")</f>
        <v>Retro-modern</v>
      </c>
      <c r="J12" s="1" t="str">
        <f ca="1">IFERROR(__xludf.DUMMYFUNCTION("""COMPUTED_VALUE"""),"Retractable")</f>
        <v>Retractable</v>
      </c>
      <c r="K12" s="1" t="s">
        <v>13</v>
      </c>
      <c r="L12" s="2">
        <v>32.747455700000003</v>
      </c>
      <c r="M12" s="2">
        <v>-97.083835100000002</v>
      </c>
    </row>
    <row r="13" spans="1:16" x14ac:dyDescent="0.2">
      <c r="A13" s="1"/>
      <c r="B13" s="1" t="str">
        <f ca="1">IFERROR(__xludf.DUMMYFUNCTION("""COMPUTED_VALUE"""),"Great American Ball Park")</f>
        <v>Great American Ball Park</v>
      </c>
      <c r="C13" s="4">
        <f ca="1">IFERROR(__xludf.DUMMYFUNCTION("""COMPUTED_VALUE"""),42319)</f>
        <v>42319</v>
      </c>
      <c r="D13" s="1" t="str">
        <f ca="1">IFERROR(__xludf.DUMMYFUNCTION("""COMPUTED_VALUE"""),"Cincinnati, Ohio")</f>
        <v>Cincinnati, Ohio</v>
      </c>
      <c r="E13" s="1" t="str">
        <f ca="1">IFERROR(__xludf.DUMMYFUNCTION("""COMPUTED_VALUE"""),"Grass")</f>
        <v>Grass</v>
      </c>
      <c r="F13" s="1" t="str">
        <f ca="1">IFERROR(__xludf.DUMMYFUNCTION("""COMPUTED_VALUE"""),"Cincinnati Reds")</f>
        <v>Cincinnati Reds</v>
      </c>
      <c r="G13" s="1">
        <f ca="1">IFERROR(__xludf.DUMMYFUNCTION("""COMPUTED_VALUE"""),2003)</f>
        <v>2003</v>
      </c>
      <c r="H13" s="1" t="str">
        <f ca="1">IFERROR(__xludf.DUMMYFUNCTION("""COMPUTED_VALUE"""),"404 feet (123 m)")</f>
        <v>404 feet (123 m)</v>
      </c>
      <c r="I13" s="1" t="str">
        <f ca="1">IFERROR(__xludf.DUMMYFUNCTION("""COMPUTED_VALUE"""),"Retro-modern")</f>
        <v>Retro-modern</v>
      </c>
      <c r="J13" s="1" t="str">
        <f ca="1">IFERROR(__xludf.DUMMYFUNCTION("""COMPUTED_VALUE"""),"Open")</f>
        <v>Open</v>
      </c>
      <c r="K13" s="1" t="s">
        <v>14</v>
      </c>
      <c r="L13" s="2">
        <v>39.097380800000003</v>
      </c>
      <c r="M13" s="2">
        <v>-84.507071400000001</v>
      </c>
    </row>
    <row r="14" spans="1:16" x14ac:dyDescent="0.2">
      <c r="A14" s="1"/>
      <c r="B14" s="1" t="str">
        <f ca="1">IFERROR(__xludf.DUMMYFUNCTION("""COMPUTED_VALUE"""),"Guaranteed Rate Field")</f>
        <v>Guaranteed Rate Field</v>
      </c>
      <c r="C14" s="4">
        <f ca="1">IFERROR(__xludf.DUMMYFUNCTION("""COMPUTED_VALUE"""),40615)</f>
        <v>40615</v>
      </c>
      <c r="D14" s="1" t="str">
        <f ca="1">IFERROR(__xludf.DUMMYFUNCTION("""COMPUTED_VALUE"""),"Chicago, Illinois")</f>
        <v>Chicago, Illinois</v>
      </c>
      <c r="E14" s="1" t="str">
        <f ca="1">IFERROR(__xludf.DUMMYFUNCTION("""COMPUTED_VALUE"""),"Grass")</f>
        <v>Grass</v>
      </c>
      <c r="F14" s="1" t="str">
        <f ca="1">IFERROR(__xludf.DUMMYFUNCTION("""COMPUTED_VALUE"""),"Chicago White Sox")</f>
        <v>Chicago White Sox</v>
      </c>
      <c r="G14" s="1">
        <f ca="1">IFERROR(__xludf.DUMMYFUNCTION("""COMPUTED_VALUE"""),1991)</f>
        <v>1991</v>
      </c>
      <c r="H14" s="1" t="str">
        <f ca="1">IFERROR(__xludf.DUMMYFUNCTION("""COMPUTED_VALUE"""),"400 feet (122 m)")</f>
        <v>400 feet (122 m)</v>
      </c>
      <c r="I14" s="1" t="str">
        <f ca="1">IFERROR(__xludf.DUMMYFUNCTION("""COMPUTED_VALUE"""),"Modern
Retro-classic")</f>
        <v>Modern
Retro-classic</v>
      </c>
      <c r="J14" s="1" t="str">
        <f ca="1">IFERROR(__xludf.DUMMYFUNCTION("""COMPUTED_VALUE"""),"Open")</f>
        <v>Open</v>
      </c>
      <c r="K14" s="1" t="s">
        <v>15</v>
      </c>
      <c r="L14" s="2">
        <v>41.829902099999998</v>
      </c>
      <c r="M14" s="2">
        <v>-87.633752199999904</v>
      </c>
    </row>
    <row r="15" spans="1:16" x14ac:dyDescent="0.2">
      <c r="A15" s="1"/>
      <c r="B15" s="1" t="str">
        <f ca="1">IFERROR(__xludf.DUMMYFUNCTION("""COMPUTED_VALUE"""),"Kauffman Stadium")</f>
        <v>Kauffman Stadium</v>
      </c>
      <c r="C15" s="1" t="str">
        <f ca="1">IFERROR(__xludf.DUMMYFUNCTION("""COMPUTED_VALUE"""),"37,903[12]")</f>
        <v>37,903[12]</v>
      </c>
      <c r="D15" s="1" t="str">
        <f ca="1">IFERROR(__xludf.DUMMYFUNCTION("""COMPUTED_VALUE"""),"Kansas City, Missouri")</f>
        <v>Kansas City, Missouri</v>
      </c>
      <c r="E15" s="1" t="str">
        <f ca="1">IFERROR(__xludf.DUMMYFUNCTION("""COMPUTED_VALUE"""),"Grass")</f>
        <v>Grass</v>
      </c>
      <c r="F15" s="1" t="str">
        <f ca="1">IFERROR(__xludf.DUMMYFUNCTION("""COMPUTED_VALUE"""),"Kansas City Royals")</f>
        <v>Kansas City Royals</v>
      </c>
      <c r="G15" s="1">
        <f ca="1">IFERROR(__xludf.DUMMYFUNCTION("""COMPUTED_VALUE"""),1973)</f>
        <v>1973</v>
      </c>
      <c r="H15" s="1" t="str">
        <f ca="1">IFERROR(__xludf.DUMMYFUNCTION("""COMPUTED_VALUE"""),"410 feet (125 m)")</f>
        <v>410 feet (125 m)</v>
      </c>
      <c r="I15" s="1" t="str">
        <f ca="1">IFERROR(__xludf.DUMMYFUNCTION("""COMPUTED_VALUE"""),"Modern
Retro-modern")</f>
        <v>Modern
Retro-modern</v>
      </c>
      <c r="J15" s="1" t="str">
        <f ca="1">IFERROR(__xludf.DUMMYFUNCTION("""COMPUTED_VALUE"""),"Open")</f>
        <v>Open</v>
      </c>
      <c r="K15" s="1" t="s">
        <v>16</v>
      </c>
      <c r="L15" s="2">
        <v>39.051671900000002</v>
      </c>
      <c r="M15" s="2">
        <v>-94.480314199999995</v>
      </c>
    </row>
    <row r="16" spans="1:16" x14ac:dyDescent="0.2">
      <c r="A16" s="1"/>
      <c r="B16" s="1" t="str">
        <f ca="1">IFERROR(__xludf.DUMMYFUNCTION("""COMPUTED_VALUE"""),"LoanDepot Park")</f>
        <v>LoanDepot Park</v>
      </c>
      <c r="C16" s="4">
        <f ca="1">IFERROR(__xludf.DUMMYFUNCTION("""COMPUTED_VALUE"""),36742)</f>
        <v>36742</v>
      </c>
      <c r="D16" s="1" t="str">
        <f ca="1">IFERROR(__xludf.DUMMYFUNCTION("""COMPUTED_VALUE"""),"Miami, Florida")</f>
        <v>Miami, Florida</v>
      </c>
      <c r="E16" s="1" t="str">
        <f ca="1">IFERROR(__xludf.DUMMYFUNCTION("""COMPUTED_VALUE"""),"Artificial turf")</f>
        <v>Artificial turf</v>
      </c>
      <c r="F16" s="1" t="str">
        <f ca="1">IFERROR(__xludf.DUMMYFUNCTION("""COMPUTED_VALUE"""),"Miami Marlins")</f>
        <v>Miami Marlins</v>
      </c>
      <c r="G16" s="1">
        <f ca="1">IFERROR(__xludf.DUMMYFUNCTION("""COMPUTED_VALUE"""),2012)</f>
        <v>2012</v>
      </c>
      <c r="H16" s="1" t="str">
        <f ca="1">IFERROR(__xludf.DUMMYFUNCTION("""COMPUTED_VALUE"""),"407 feet (124 m)")</f>
        <v>407 feet (124 m)</v>
      </c>
      <c r="I16" s="1" t="str">
        <f ca="1">IFERROR(__xludf.DUMMYFUNCTION("""COMPUTED_VALUE"""),"Contemporary[13]")</f>
        <v>Contemporary[13]</v>
      </c>
      <c r="J16" s="1" t="str">
        <f ca="1">IFERROR(__xludf.DUMMYFUNCTION("""COMPUTED_VALUE"""),"Retractable")</f>
        <v>Retractable</v>
      </c>
      <c r="K16" s="1" t="s">
        <v>17</v>
      </c>
      <c r="L16" s="2">
        <v>25.778148699999999</v>
      </c>
      <c r="M16" s="2">
        <v>-80.219599799999997</v>
      </c>
    </row>
    <row r="17" spans="1:13" x14ac:dyDescent="0.2">
      <c r="A17" s="1"/>
      <c r="B17" s="1" t="str">
        <f ca="1">IFERROR(__xludf.DUMMYFUNCTION("""COMPUTED_VALUE"""),"Minute Maid Park")</f>
        <v>Minute Maid Park</v>
      </c>
      <c r="C17" s="1" t="str">
        <f ca="1">IFERROR(__xludf.DUMMYFUNCTION("""COMPUTED_VALUE"""),"41,168[14]")</f>
        <v>41,168[14]</v>
      </c>
      <c r="D17" s="1" t="str">
        <f ca="1">IFERROR(__xludf.DUMMYFUNCTION("""COMPUTED_VALUE"""),"Houston, Texas")</f>
        <v>Houston, Texas</v>
      </c>
      <c r="E17" s="1" t="str">
        <f ca="1">IFERROR(__xludf.DUMMYFUNCTION("""COMPUTED_VALUE"""),"Grass")</f>
        <v>Grass</v>
      </c>
      <c r="F17" s="1" t="str">
        <f ca="1">IFERROR(__xludf.DUMMYFUNCTION("""COMPUTED_VALUE"""),"Houston Astros")</f>
        <v>Houston Astros</v>
      </c>
      <c r="G17" s="1">
        <f ca="1">IFERROR(__xludf.DUMMYFUNCTION("""COMPUTED_VALUE"""),2000)</f>
        <v>2000</v>
      </c>
      <c r="H17" s="1" t="str">
        <f ca="1">IFERROR(__xludf.DUMMYFUNCTION("""COMPUTED_VALUE"""),"409 feet (125 m)[15]")</f>
        <v>409 feet (125 m)[15]</v>
      </c>
      <c r="I17" s="1" t="str">
        <f ca="1">IFERROR(__xludf.DUMMYFUNCTION("""COMPUTED_VALUE"""),"Retro-modern")</f>
        <v>Retro-modern</v>
      </c>
      <c r="J17" s="1" t="str">
        <f ca="1">IFERROR(__xludf.DUMMYFUNCTION("""COMPUTED_VALUE"""),"Retractable")</f>
        <v>Retractable</v>
      </c>
      <c r="K17" s="1" t="s">
        <v>18</v>
      </c>
      <c r="L17" s="2">
        <v>29.757269399999998</v>
      </c>
      <c r="M17" s="2">
        <v>-95.355514299999996</v>
      </c>
    </row>
    <row r="18" spans="1:13" x14ac:dyDescent="0.2">
      <c r="A18" s="1"/>
      <c r="B18" s="1" t="str">
        <f ca="1">IFERROR(__xludf.DUMMYFUNCTION("""COMPUTED_VALUE"""),"Nationals Park")</f>
        <v>Nationals Park</v>
      </c>
      <c r="C18" s="1" t="str">
        <f ca="1">IFERROR(__xludf.DUMMYFUNCTION("""COMPUTED_VALUE"""),"41,339[16]")</f>
        <v>41,339[16]</v>
      </c>
      <c r="D18" s="1" t="str">
        <f ca="1">IFERROR(__xludf.DUMMYFUNCTION("""COMPUTED_VALUE"""),"Washington, D.C.")</f>
        <v>Washington, D.C.</v>
      </c>
      <c r="E18" s="1" t="str">
        <f ca="1">IFERROR(__xludf.DUMMYFUNCTION("""COMPUTED_VALUE"""),"Grass")</f>
        <v>Grass</v>
      </c>
      <c r="F18" s="1" t="str">
        <f ca="1">IFERROR(__xludf.DUMMYFUNCTION("""COMPUTED_VALUE"""),"Washington Nationals")</f>
        <v>Washington Nationals</v>
      </c>
      <c r="G18" s="1">
        <f ca="1">IFERROR(__xludf.DUMMYFUNCTION("""COMPUTED_VALUE"""),2008)</f>
        <v>2008</v>
      </c>
      <c r="H18" s="1" t="str">
        <f ca="1">IFERROR(__xludf.DUMMYFUNCTION("""COMPUTED_VALUE"""),"402 feet (123 m)")</f>
        <v>402 feet (123 m)</v>
      </c>
      <c r="I18" s="1" t="str">
        <f ca="1">IFERROR(__xludf.DUMMYFUNCTION("""COMPUTED_VALUE"""),"Retro-modern")</f>
        <v>Retro-modern</v>
      </c>
      <c r="J18" s="1" t="str">
        <f ca="1">IFERROR(__xludf.DUMMYFUNCTION("""COMPUTED_VALUE"""),"Open")</f>
        <v>Open</v>
      </c>
      <c r="K18" s="1" t="s">
        <v>19</v>
      </c>
      <c r="L18" s="2">
        <v>38.873010200000003</v>
      </c>
      <c r="M18" s="2">
        <v>-77.007432899999998</v>
      </c>
    </row>
    <row r="19" spans="1:13" x14ac:dyDescent="0.2">
      <c r="A19" s="1"/>
      <c r="B19" s="1" t="str">
        <f ca="1">IFERROR(__xludf.DUMMYFUNCTION("""COMPUTED_VALUE"""),"Oakland Coliseum")</f>
        <v>Oakland Coliseum</v>
      </c>
      <c r="C19" s="1" t="str">
        <f ca="1">IFERROR(__xludf.DUMMYFUNCTION("""COMPUTED_VALUE"""),"46,847[17]")</f>
        <v>46,847[17]</v>
      </c>
      <c r="D19" s="1" t="str">
        <f ca="1">IFERROR(__xludf.DUMMYFUNCTION("""COMPUTED_VALUE"""),"Oakland, California")</f>
        <v>Oakland, California</v>
      </c>
      <c r="E19" s="1" t="str">
        <f ca="1">IFERROR(__xludf.DUMMYFUNCTION("""COMPUTED_VALUE"""),"Grass")</f>
        <v>Grass</v>
      </c>
      <c r="F19" s="1" t="str">
        <f ca="1">IFERROR(__xludf.DUMMYFUNCTION("""COMPUTED_VALUE"""),"Oakland Athletics")</f>
        <v>Oakland Athletics</v>
      </c>
      <c r="G19" s="1" t="str">
        <f ca="1">IFERROR(__xludf.DUMMYFUNCTION("""COMPUTED_VALUE"""),"1966[nb 4]")</f>
        <v>1966[nb 4]</v>
      </c>
      <c r="H19" s="1" t="str">
        <f ca="1">IFERROR(__xludf.DUMMYFUNCTION("""COMPUTED_VALUE"""),"400 feet (122 m)")</f>
        <v>400 feet (122 m)</v>
      </c>
      <c r="I19" s="1" t="str">
        <f ca="1">IFERROR(__xludf.DUMMYFUNCTION("""COMPUTED_VALUE"""),"Multipurpose")</f>
        <v>Multipurpose</v>
      </c>
      <c r="J19" s="1" t="str">
        <f ca="1">IFERROR(__xludf.DUMMYFUNCTION("""COMPUTED_VALUE"""),"Open")</f>
        <v>Open</v>
      </c>
      <c r="K19" s="1" t="s">
        <v>20</v>
      </c>
      <c r="L19" s="2">
        <v>37.751594599999997</v>
      </c>
      <c r="M19" s="2">
        <v>-122.2005458</v>
      </c>
    </row>
    <row r="20" spans="1:13" x14ac:dyDescent="0.2">
      <c r="A20" s="1"/>
      <c r="B20" s="1" t="str">
        <f ca="1">IFERROR(__xludf.DUMMYFUNCTION("""COMPUTED_VALUE"""),"Oracle Park")</f>
        <v>Oracle Park</v>
      </c>
      <c r="C20" s="1" t="str">
        <f ca="1">IFERROR(__xludf.DUMMYFUNCTION("""COMPUTED_VALUE"""),"41,265[18]")</f>
        <v>41,265[18]</v>
      </c>
      <c r="D20" s="1" t="str">
        <f ca="1">IFERROR(__xludf.DUMMYFUNCTION("""COMPUTED_VALUE"""),"San Francisco, California")</f>
        <v>San Francisco, California</v>
      </c>
      <c r="E20" s="1" t="str">
        <f ca="1">IFERROR(__xludf.DUMMYFUNCTION("""COMPUTED_VALUE"""),"Grass")</f>
        <v>Grass</v>
      </c>
      <c r="F20" s="1" t="str">
        <f ca="1">IFERROR(__xludf.DUMMYFUNCTION("""COMPUTED_VALUE"""),"San Francisco Giants")</f>
        <v>San Francisco Giants</v>
      </c>
      <c r="G20" s="1">
        <f ca="1">IFERROR(__xludf.DUMMYFUNCTION("""COMPUTED_VALUE"""),2000)</f>
        <v>2000</v>
      </c>
      <c r="H20" s="1" t="str">
        <f ca="1">IFERROR(__xludf.DUMMYFUNCTION("""COMPUTED_VALUE"""),"391 feet (119 m)")</f>
        <v>391 feet (119 m)</v>
      </c>
      <c r="I20" s="1" t="str">
        <f ca="1">IFERROR(__xludf.DUMMYFUNCTION("""COMPUTED_VALUE"""),"Retro-classic")</f>
        <v>Retro-classic</v>
      </c>
      <c r="J20" s="1" t="str">
        <f ca="1">IFERROR(__xludf.DUMMYFUNCTION("""COMPUTED_VALUE"""),"Open")</f>
        <v>Open</v>
      </c>
      <c r="K20" s="1" t="s">
        <v>21</v>
      </c>
      <c r="L20" s="2">
        <v>37.778595099999997</v>
      </c>
      <c r="M20" s="2">
        <v>-122.38926979999999</v>
      </c>
    </row>
    <row r="21" spans="1:13" x14ac:dyDescent="0.2">
      <c r="A21" s="1"/>
      <c r="B21" s="1" t="str">
        <f ca="1">IFERROR(__xludf.DUMMYFUNCTION("""COMPUTED_VALUE"""),"Oriole Park at Camden Yards")</f>
        <v>Oriole Park at Camden Yards</v>
      </c>
      <c r="C21" s="1" t="str">
        <f ca="1">IFERROR(__xludf.DUMMYFUNCTION("""COMPUTED_VALUE"""),"45,971[19]")</f>
        <v>45,971[19]</v>
      </c>
      <c r="D21" s="1" t="str">
        <f ca="1">IFERROR(__xludf.DUMMYFUNCTION("""COMPUTED_VALUE"""),"Baltimore, Maryland")</f>
        <v>Baltimore, Maryland</v>
      </c>
      <c r="E21" s="1" t="str">
        <f ca="1">IFERROR(__xludf.DUMMYFUNCTION("""COMPUTED_VALUE"""),"Grass")</f>
        <v>Grass</v>
      </c>
      <c r="F21" s="1" t="str">
        <f ca="1">IFERROR(__xludf.DUMMYFUNCTION("""COMPUTED_VALUE"""),"Baltimore Orioles")</f>
        <v>Baltimore Orioles</v>
      </c>
      <c r="G21" s="1">
        <f ca="1">IFERROR(__xludf.DUMMYFUNCTION("""COMPUTED_VALUE"""),1992)</f>
        <v>1992</v>
      </c>
      <c r="H21" s="1" t="str">
        <f ca="1">IFERROR(__xludf.DUMMYFUNCTION("""COMPUTED_VALUE"""),"410 feet (125 m)")</f>
        <v>410 feet (125 m)</v>
      </c>
      <c r="I21" s="1" t="str">
        <f ca="1">IFERROR(__xludf.DUMMYFUNCTION("""COMPUTED_VALUE"""),"Retro-classic")</f>
        <v>Retro-classic</v>
      </c>
      <c r="J21" s="1" t="str">
        <f ca="1">IFERROR(__xludf.DUMMYFUNCTION("""COMPUTED_VALUE"""),"Open")</f>
        <v>Open</v>
      </c>
      <c r="K21" s="1" t="s">
        <v>22</v>
      </c>
      <c r="L21" s="2">
        <v>39.283935399999997</v>
      </c>
      <c r="M21" s="2">
        <v>-76.621565399999994</v>
      </c>
    </row>
    <row r="22" spans="1:13" x14ac:dyDescent="0.2">
      <c r="A22" s="1"/>
      <c r="B22" s="1" t="str">
        <f ca="1">IFERROR(__xludf.DUMMYFUNCTION("""COMPUTED_VALUE"""),"Petco Park")</f>
        <v>Petco Park</v>
      </c>
      <c r="C22" s="1" t="str">
        <f ca="1">IFERROR(__xludf.DUMMYFUNCTION("""COMPUTED_VALUE"""),"40,209[20]")</f>
        <v>40,209[20]</v>
      </c>
      <c r="D22" s="1" t="str">
        <f ca="1">IFERROR(__xludf.DUMMYFUNCTION("""COMPUTED_VALUE"""),"San Diego, California")</f>
        <v>San Diego, California</v>
      </c>
      <c r="E22" s="1" t="str">
        <f ca="1">IFERROR(__xludf.DUMMYFUNCTION("""COMPUTED_VALUE"""),"Grass")</f>
        <v>Grass</v>
      </c>
      <c r="F22" s="1" t="str">
        <f ca="1">IFERROR(__xludf.DUMMYFUNCTION("""COMPUTED_VALUE"""),"San Diego Padres")</f>
        <v>San Diego Padres</v>
      </c>
      <c r="G22" s="1">
        <f ca="1">IFERROR(__xludf.DUMMYFUNCTION("""COMPUTED_VALUE"""),2004)</f>
        <v>2004</v>
      </c>
      <c r="H22" s="1" t="str">
        <f ca="1">IFERROR(__xludf.DUMMYFUNCTION("""COMPUTED_VALUE"""),"396 feet (121 m)")</f>
        <v>396 feet (121 m)</v>
      </c>
      <c r="I22" s="1" t="str">
        <f ca="1">IFERROR(__xludf.DUMMYFUNCTION("""COMPUTED_VALUE"""),"Retro-modern")</f>
        <v>Retro-modern</v>
      </c>
      <c r="J22" s="1" t="str">
        <f ca="1">IFERROR(__xludf.DUMMYFUNCTION("""COMPUTED_VALUE"""),"Open")</f>
        <v>Open</v>
      </c>
      <c r="K22" s="1" t="s">
        <v>23</v>
      </c>
      <c r="L22" s="2">
        <v>32.707603499999998</v>
      </c>
      <c r="M22" s="2">
        <v>-117.15703600000001</v>
      </c>
    </row>
    <row r="23" spans="1:13" x14ac:dyDescent="0.2">
      <c r="A23" s="1"/>
      <c r="B23" s="1" t="str">
        <f ca="1">IFERROR(__xludf.DUMMYFUNCTION("""COMPUTED_VALUE"""),"PNC Park")</f>
        <v>PNC Park</v>
      </c>
      <c r="C23" s="1" t="str">
        <f ca="1">IFERROR(__xludf.DUMMYFUNCTION("""COMPUTED_VALUE"""),"38,747[21]")</f>
        <v>38,747[21]</v>
      </c>
      <c r="D23" s="1" t="str">
        <f ca="1">IFERROR(__xludf.DUMMYFUNCTION("""COMPUTED_VALUE"""),"Pittsburgh, Pennsylvania")</f>
        <v>Pittsburgh, Pennsylvania</v>
      </c>
      <c r="E23" s="1" t="str">
        <f ca="1">IFERROR(__xludf.DUMMYFUNCTION("""COMPUTED_VALUE"""),"Grass")</f>
        <v>Grass</v>
      </c>
      <c r="F23" s="1" t="str">
        <f ca="1">IFERROR(__xludf.DUMMYFUNCTION("""COMPUTED_VALUE"""),"Pittsburgh Pirates")</f>
        <v>Pittsburgh Pirates</v>
      </c>
      <c r="G23" s="1">
        <f ca="1">IFERROR(__xludf.DUMMYFUNCTION("""COMPUTED_VALUE"""),2001)</f>
        <v>2001</v>
      </c>
      <c r="H23" s="1" t="str">
        <f ca="1">IFERROR(__xludf.DUMMYFUNCTION("""COMPUTED_VALUE"""),"399 feet (122 m)")</f>
        <v>399 feet (122 m)</v>
      </c>
      <c r="I23" s="1" t="str">
        <f ca="1">IFERROR(__xludf.DUMMYFUNCTION("""COMPUTED_VALUE"""),"Retro-classic")</f>
        <v>Retro-classic</v>
      </c>
      <c r="J23" s="1" t="str">
        <f ca="1">IFERROR(__xludf.DUMMYFUNCTION("""COMPUTED_VALUE"""),"Open")</f>
        <v>Open</v>
      </c>
      <c r="K23" s="1" t="s">
        <v>24</v>
      </c>
      <c r="L23" s="2">
        <v>40.446941000000002</v>
      </c>
      <c r="M23" s="2">
        <v>-80.005705399999997</v>
      </c>
    </row>
    <row r="24" spans="1:13" x14ac:dyDescent="0.2">
      <c r="A24" s="1"/>
      <c r="B24" s="1" t="str">
        <f ca="1">IFERROR(__xludf.DUMMYFUNCTION("""COMPUTED_VALUE"""),"Progressive Field")</f>
        <v>Progressive Field</v>
      </c>
      <c r="C24" s="1" t="str">
        <f ca="1">IFERROR(__xludf.DUMMYFUNCTION("""COMPUTED_VALUE"""),"34,830[22]")</f>
        <v>34,830[22]</v>
      </c>
      <c r="D24" s="1" t="str">
        <f ca="1">IFERROR(__xludf.DUMMYFUNCTION("""COMPUTED_VALUE"""),"Cleveland, Ohio")</f>
        <v>Cleveland, Ohio</v>
      </c>
      <c r="E24" s="1" t="str">
        <f ca="1">IFERROR(__xludf.DUMMYFUNCTION("""COMPUTED_VALUE"""),"Grass")</f>
        <v>Grass</v>
      </c>
      <c r="F24" s="1" t="str">
        <f ca="1">IFERROR(__xludf.DUMMYFUNCTION("""COMPUTED_VALUE"""),"Cleveland Indians")</f>
        <v>Cleveland Indians</v>
      </c>
      <c r="G24" s="1">
        <f ca="1">IFERROR(__xludf.DUMMYFUNCTION("""COMPUTED_VALUE"""),1994)</f>
        <v>1994</v>
      </c>
      <c r="H24" s="1" t="str">
        <f ca="1">IFERROR(__xludf.DUMMYFUNCTION("""COMPUTED_VALUE"""),"410 feet (125 m)")</f>
        <v>410 feet (125 m)</v>
      </c>
      <c r="I24" s="1" t="str">
        <f ca="1">IFERROR(__xludf.DUMMYFUNCTION("""COMPUTED_VALUE"""),"Retro-modern")</f>
        <v>Retro-modern</v>
      </c>
      <c r="J24" s="1" t="str">
        <f ca="1">IFERROR(__xludf.DUMMYFUNCTION("""COMPUTED_VALUE"""),"Open")</f>
        <v>Open</v>
      </c>
      <c r="K24" s="1" t="s">
        <v>25</v>
      </c>
      <c r="L24" s="2">
        <v>41.496211000000002</v>
      </c>
      <c r="M24" s="2">
        <v>-81.685228899999998</v>
      </c>
    </row>
    <row r="25" spans="1:13" x14ac:dyDescent="0.2">
      <c r="A25" s="1"/>
      <c r="B25" s="1" t="str">
        <f ca="1">IFERROR(__xludf.DUMMYFUNCTION("""COMPUTED_VALUE"""),"Rogers Centre")</f>
        <v>Rogers Centre</v>
      </c>
      <c r="C25" s="4">
        <f ca="1">IFERROR(__xludf.DUMMYFUNCTION("""COMPUTED_VALUE"""),49286)</f>
        <v>49286</v>
      </c>
      <c r="D25" s="1" t="str">
        <f ca="1">IFERROR(__xludf.DUMMYFUNCTION("""COMPUTED_VALUE"""),"Toronto, Ontario")</f>
        <v>Toronto, Ontario</v>
      </c>
      <c r="E25" s="1" t="str">
        <f ca="1">IFERROR(__xludf.DUMMYFUNCTION("""COMPUTED_VALUE"""),"Artificial turf")</f>
        <v>Artificial turf</v>
      </c>
      <c r="F25" s="1" t="str">
        <f ca="1">IFERROR(__xludf.DUMMYFUNCTION("""COMPUTED_VALUE"""),"Toronto Blue Jays")</f>
        <v>Toronto Blue Jays</v>
      </c>
      <c r="G25" s="1">
        <f ca="1">IFERROR(__xludf.DUMMYFUNCTION("""COMPUTED_VALUE"""),1989)</f>
        <v>1989</v>
      </c>
      <c r="H25" s="1" t="str">
        <f ca="1">IFERROR(__xludf.DUMMYFUNCTION("""COMPUTED_VALUE"""),"400 feet (122 m)")</f>
        <v>400 feet (122 m)</v>
      </c>
      <c r="I25" s="1" t="str">
        <f ca="1">IFERROR(__xludf.DUMMYFUNCTION("""COMPUTED_VALUE"""),"Multipurpose")</f>
        <v>Multipurpose</v>
      </c>
      <c r="J25" s="1" t="str">
        <f ca="1">IFERROR(__xludf.DUMMYFUNCTION("""COMPUTED_VALUE"""),"Retractable")</f>
        <v>Retractable</v>
      </c>
      <c r="K25" s="1" t="s">
        <v>26</v>
      </c>
      <c r="L25" s="2">
        <v>43.641779799999902</v>
      </c>
      <c r="M25" s="2">
        <v>-79.389143699999906</v>
      </c>
    </row>
    <row r="26" spans="1:13" x14ac:dyDescent="0.2">
      <c r="A26" s="1"/>
      <c r="B26" s="1" t="str">
        <f ca="1">IFERROR(__xludf.DUMMYFUNCTION("""COMPUTED_VALUE"""),"T-Mobile Park")</f>
        <v>T-Mobile Park</v>
      </c>
      <c r="C26" s="1" t="str">
        <f ca="1">IFERROR(__xludf.DUMMYFUNCTION("""COMPUTED_VALUE"""),"47,929[23]")</f>
        <v>47,929[23]</v>
      </c>
      <c r="D26" s="1" t="str">
        <f ca="1">IFERROR(__xludf.DUMMYFUNCTION("""COMPUTED_VALUE"""),"Seattle, Washington")</f>
        <v>Seattle, Washington</v>
      </c>
      <c r="E26" s="1" t="str">
        <f ca="1">IFERROR(__xludf.DUMMYFUNCTION("""COMPUTED_VALUE"""),"Grass")</f>
        <v>Grass</v>
      </c>
      <c r="F26" s="1" t="str">
        <f ca="1">IFERROR(__xludf.DUMMYFUNCTION("""COMPUTED_VALUE"""),"Seattle Mariners")</f>
        <v>Seattle Mariners</v>
      </c>
      <c r="G26" s="1">
        <f ca="1">IFERROR(__xludf.DUMMYFUNCTION("""COMPUTED_VALUE"""),1999)</f>
        <v>1999</v>
      </c>
      <c r="H26" s="1" t="str">
        <f ca="1">IFERROR(__xludf.DUMMYFUNCTION("""COMPUTED_VALUE"""),"401 feet (122 m)")</f>
        <v>401 feet (122 m)</v>
      </c>
      <c r="I26" s="1" t="str">
        <f ca="1">IFERROR(__xludf.DUMMYFUNCTION("""COMPUTED_VALUE"""),"Retro-modern")</f>
        <v>Retro-modern</v>
      </c>
      <c r="J26" s="1" t="str">
        <f ca="1">IFERROR(__xludf.DUMMYFUNCTION("""COMPUTED_VALUE"""),"Retractable")</f>
        <v>Retractable</v>
      </c>
      <c r="K26" s="1" t="s">
        <v>27</v>
      </c>
      <c r="L26" s="2">
        <v>47.591402600000002</v>
      </c>
      <c r="M26" s="2">
        <v>-122.3325085</v>
      </c>
    </row>
    <row r="27" spans="1:13" x14ac:dyDescent="0.2">
      <c r="A27" s="1"/>
      <c r="B27" s="1" t="str">
        <f ca="1">IFERROR(__xludf.DUMMYFUNCTION("""COMPUTED_VALUE"""),"Target Field")</f>
        <v>Target Field</v>
      </c>
      <c r="C27" s="1" t="str">
        <f ca="1">IFERROR(__xludf.DUMMYFUNCTION("""COMPUTED_VALUE"""),"38,544[24]")</f>
        <v>38,544[24]</v>
      </c>
      <c r="D27" s="1" t="str">
        <f ca="1">IFERROR(__xludf.DUMMYFUNCTION("""COMPUTED_VALUE"""),"Minneapolis, Minnesota")</f>
        <v>Minneapolis, Minnesota</v>
      </c>
      <c r="E27" s="1" t="str">
        <f ca="1">IFERROR(__xludf.DUMMYFUNCTION("""COMPUTED_VALUE"""),"Grass")</f>
        <v>Grass</v>
      </c>
      <c r="F27" s="1" t="str">
        <f ca="1">IFERROR(__xludf.DUMMYFUNCTION("""COMPUTED_VALUE"""),"Minnesota Twins")</f>
        <v>Minnesota Twins</v>
      </c>
      <c r="G27" s="1">
        <f ca="1">IFERROR(__xludf.DUMMYFUNCTION("""COMPUTED_VALUE"""),2010)</f>
        <v>2010</v>
      </c>
      <c r="H27" s="1" t="str">
        <f ca="1">IFERROR(__xludf.DUMMYFUNCTION("""COMPUTED_VALUE"""),"404 feet (123 m)")</f>
        <v>404 feet (123 m)</v>
      </c>
      <c r="I27" s="1" t="str">
        <f ca="1">IFERROR(__xludf.DUMMYFUNCTION("""COMPUTED_VALUE"""),"Retro-modern")</f>
        <v>Retro-modern</v>
      </c>
      <c r="J27" s="1" t="str">
        <f ca="1">IFERROR(__xludf.DUMMYFUNCTION("""COMPUTED_VALUE"""),"Open")</f>
        <v>Open</v>
      </c>
      <c r="K27" s="1" t="s">
        <v>28</v>
      </c>
      <c r="L27" s="2">
        <v>44.981742999999902</v>
      </c>
      <c r="M27" s="2">
        <v>-93.277629199999893</v>
      </c>
    </row>
    <row r="28" spans="1:13" x14ac:dyDescent="0.2">
      <c r="A28" s="1"/>
      <c r="B28" s="1" t="str">
        <f ca="1">IFERROR(__xludf.DUMMYFUNCTION("""COMPUTED_VALUE"""),"Tropicana Field")</f>
        <v>Tropicana Field</v>
      </c>
      <c r="C28" s="1" t="str">
        <f ca="1">IFERROR(__xludf.DUMMYFUNCTION("""COMPUTED_VALUE"""),"25,000[25]")</f>
        <v>25,000[25]</v>
      </c>
      <c r="D28" s="1" t="str">
        <f ca="1">IFERROR(__xludf.DUMMYFUNCTION("""COMPUTED_VALUE"""),"St. Petersburg, Florida")</f>
        <v>St. Petersburg, Florida</v>
      </c>
      <c r="E28" s="1" t="str">
        <f ca="1">IFERROR(__xludf.DUMMYFUNCTION("""COMPUTED_VALUE"""),"Artificial turf")</f>
        <v>Artificial turf</v>
      </c>
      <c r="F28" s="1" t="str">
        <f ca="1">IFERROR(__xludf.DUMMYFUNCTION("""COMPUTED_VALUE"""),"Tampa Bay Rays")</f>
        <v>Tampa Bay Rays</v>
      </c>
      <c r="G28" s="1" t="str">
        <f ca="1">IFERROR(__xludf.DUMMYFUNCTION("""COMPUTED_VALUE"""),"1990[nb 5]")</f>
        <v>1990[nb 5]</v>
      </c>
      <c r="H28" s="1" t="str">
        <f ca="1">IFERROR(__xludf.DUMMYFUNCTION("""COMPUTED_VALUE"""),"404 feet (123 m)")</f>
        <v>404 feet (123 m)</v>
      </c>
      <c r="I28" s="1" t="str">
        <f ca="1">IFERROR(__xludf.DUMMYFUNCTION("""COMPUTED_VALUE"""),"Modern
Indoor")</f>
        <v>Modern
Indoor</v>
      </c>
      <c r="J28" s="1" t="str">
        <f ca="1">IFERROR(__xludf.DUMMYFUNCTION("""COMPUTED_VALUE"""),"Fixed")</f>
        <v>Fixed</v>
      </c>
      <c r="K28" s="1" t="s">
        <v>29</v>
      </c>
      <c r="L28" s="2">
        <v>27.7682246</v>
      </c>
      <c r="M28" s="2">
        <v>-82.653392099999905</v>
      </c>
    </row>
    <row r="29" spans="1:13" x14ac:dyDescent="0.2">
      <c r="A29" s="1"/>
      <c r="B29" s="1" t="str">
        <f ca="1">IFERROR(__xludf.DUMMYFUNCTION("""COMPUTED_VALUE"""),"Truist Park")</f>
        <v>Truist Park</v>
      </c>
      <c r="C29" s="1" t="str">
        <f ca="1">IFERROR(__xludf.DUMMYFUNCTION("""COMPUTED_VALUE"""),"41,084[26]")</f>
        <v>41,084[26]</v>
      </c>
      <c r="D29" s="1" t="str">
        <f ca="1">IFERROR(__xludf.DUMMYFUNCTION("""COMPUTED_VALUE"""),"Cumberland, Georgia")</f>
        <v>Cumberland, Georgia</v>
      </c>
      <c r="E29" s="1" t="str">
        <f ca="1">IFERROR(__xludf.DUMMYFUNCTION("""COMPUTED_VALUE"""),"Grass")</f>
        <v>Grass</v>
      </c>
      <c r="F29" s="1" t="str">
        <f ca="1">IFERROR(__xludf.DUMMYFUNCTION("""COMPUTED_VALUE"""),"Atlanta Braves")</f>
        <v>Atlanta Braves</v>
      </c>
      <c r="G29" s="1">
        <f ca="1">IFERROR(__xludf.DUMMYFUNCTION("""COMPUTED_VALUE"""),2017)</f>
        <v>2017</v>
      </c>
      <c r="H29" s="1" t="str">
        <f ca="1">IFERROR(__xludf.DUMMYFUNCTION("""COMPUTED_VALUE"""),"400 feet (122 m)")</f>
        <v>400 feet (122 m)</v>
      </c>
      <c r="I29" s="1" t="str">
        <f ca="1">IFERROR(__xludf.DUMMYFUNCTION("""COMPUTED_VALUE"""),"Retro-modern")</f>
        <v>Retro-modern</v>
      </c>
      <c r="J29" s="1" t="str">
        <f ca="1">IFERROR(__xludf.DUMMYFUNCTION("""COMPUTED_VALUE"""),"Open")</f>
        <v>Open</v>
      </c>
      <c r="K29" s="1" t="s">
        <v>30</v>
      </c>
      <c r="L29" s="2">
        <v>33.8910646</v>
      </c>
      <c r="M29" s="2">
        <v>-84.468449800000002</v>
      </c>
    </row>
    <row r="30" spans="1:13" x14ac:dyDescent="0.2">
      <c r="A30" s="1"/>
      <c r="B30" s="1" t="str">
        <f ca="1">IFERROR(__xludf.DUMMYFUNCTION("""COMPUTED_VALUE"""),"Wrigley Field")</f>
        <v>Wrigley Field</v>
      </c>
      <c r="C30" s="1" t="str">
        <f ca="1">IFERROR(__xludf.DUMMYFUNCTION("""COMPUTED_VALUE"""),"41,649[27]")</f>
        <v>41,649[27]</v>
      </c>
      <c r="D30" s="1" t="str">
        <f ca="1">IFERROR(__xludf.DUMMYFUNCTION("""COMPUTED_VALUE"""),"Chicago, Illinois")</f>
        <v>Chicago, Illinois</v>
      </c>
      <c r="E30" s="1" t="str">
        <f ca="1">IFERROR(__xludf.DUMMYFUNCTION("""COMPUTED_VALUE"""),"Grass")</f>
        <v>Grass</v>
      </c>
      <c r="F30" s="1" t="str">
        <f ca="1">IFERROR(__xludf.DUMMYFUNCTION("""COMPUTED_VALUE"""),"Chicago Cubs")</f>
        <v>Chicago Cubs</v>
      </c>
      <c r="G30" s="1" t="str">
        <f ca="1">IFERROR(__xludf.DUMMYFUNCTION("""COMPUTED_VALUE"""),"1914[nb 6]")</f>
        <v>1914[nb 6]</v>
      </c>
      <c r="H30" s="1" t="str">
        <f ca="1">IFERROR(__xludf.DUMMYFUNCTION("""COMPUTED_VALUE"""),"400 feet (122 m)")</f>
        <v>400 feet (122 m)</v>
      </c>
      <c r="I30" s="1" t="str">
        <f ca="1">IFERROR(__xludf.DUMMYFUNCTION("""COMPUTED_VALUE"""),"Jewel box")</f>
        <v>Jewel box</v>
      </c>
      <c r="J30" s="1" t="str">
        <f ca="1">IFERROR(__xludf.DUMMYFUNCTION("""COMPUTED_VALUE"""),"Open")</f>
        <v>Open</v>
      </c>
      <c r="K30" s="1" t="s">
        <v>31</v>
      </c>
      <c r="L30" s="2">
        <v>41.948438400000001</v>
      </c>
      <c r="M30" s="2">
        <v>-87.655332700000002</v>
      </c>
    </row>
    <row r="31" spans="1:13" x14ac:dyDescent="0.2">
      <c r="A31" s="1"/>
      <c r="B31" s="1" t="str">
        <f ca="1">IFERROR(__xludf.DUMMYFUNCTION("""COMPUTED_VALUE"""),"Yankee Stadium")</f>
        <v>Yankee Stadium</v>
      </c>
      <c r="C31" s="1" t="str">
        <f ca="1">IFERROR(__xludf.DUMMYFUNCTION("""COMPUTED_VALUE"""),"46,537[28]")</f>
        <v>46,537[28]</v>
      </c>
      <c r="D31" s="1" t="str">
        <f ca="1">IFERROR(__xludf.DUMMYFUNCTION("""COMPUTED_VALUE"""),"Bronx, New York")</f>
        <v>Bronx, New York</v>
      </c>
      <c r="E31" s="1" t="str">
        <f ca="1">IFERROR(__xludf.DUMMYFUNCTION("""COMPUTED_VALUE"""),"Grass")</f>
        <v>Grass</v>
      </c>
      <c r="F31" s="1" t="str">
        <f ca="1">IFERROR(__xludf.DUMMYFUNCTION("""COMPUTED_VALUE"""),"New York Yankees")</f>
        <v>New York Yankees</v>
      </c>
      <c r="G31" s="1">
        <f ca="1">IFERROR(__xludf.DUMMYFUNCTION("""COMPUTED_VALUE"""),2009)</f>
        <v>2009</v>
      </c>
      <c r="H31" s="1" t="str">
        <f ca="1">IFERROR(__xludf.DUMMYFUNCTION("""COMPUTED_VALUE"""),"408 feet (124 m)")</f>
        <v>408 feet (124 m)</v>
      </c>
      <c r="I31" s="1" t="str">
        <f ca="1">IFERROR(__xludf.DUMMYFUNCTION("""COMPUTED_VALUE"""),"Retro-classic")</f>
        <v>Retro-classic</v>
      </c>
      <c r="J31" s="1" t="str">
        <f ca="1">IFERROR(__xludf.DUMMYFUNCTION("""COMPUTED_VALUE"""),"Open")</f>
        <v>Open</v>
      </c>
      <c r="K31" s="1" t="s">
        <v>32</v>
      </c>
      <c r="L31" s="2">
        <v>40.8296426</v>
      </c>
      <c r="M31" s="2">
        <v>-73.926174500000002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시트1</vt:lpstr>
      <vt:lpstr>GeocodeAddressColumn_1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modified xsi:type="dcterms:W3CDTF">2021-08-26T01:06:20Z</dcterms:modified>
</cp:coreProperties>
</file>