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b38ee7a5418dd4c9/Υπολογιστής/"/>
    </mc:Choice>
  </mc:AlternateContent>
  <xr:revisionPtr revIDLastSave="154" documentId="11_18D19917D4E4B46E1D03AFE9A5EBF0C1B19D8C70" xr6:coauthVersionLast="46" xr6:coauthVersionMax="46" xr10:uidLastSave="{06B8C670-68CE-43C8-A218-94C8418AF414}"/>
  <bookViews>
    <workbookView xWindow="-108" yWindow="-108" windowWidth="23256" windowHeight="12576" xr2:uid="{00000000-000D-0000-FFFF-FFFF00000000}"/>
  </bookViews>
  <sheets>
    <sheet name="Sheet2" sheetId="2" r:id="rId1"/>
    <sheet name="Sheet1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2" l="1"/>
  <c r="D12" i="2"/>
  <c r="B9" i="2" l="1"/>
  <c r="A10" i="2"/>
  <c r="A11" i="2" l="1"/>
  <c r="B3" i="1"/>
  <c r="G3" i="1"/>
  <c r="B25" i="1"/>
  <c r="B1" i="1" l="1"/>
  <c r="B2" i="1"/>
  <c r="F8" i="2"/>
  <c r="AA1" i="1" l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U2" i="1" l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X2" i="1" l="1"/>
  <c r="X3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U7" i="1"/>
  <c r="K27" i="1"/>
  <c r="B4" i="1"/>
  <c r="K25" i="1" s="1"/>
  <c r="K28" i="1" s="1"/>
  <c r="K26" i="1"/>
  <c r="K24" i="1" s="1"/>
  <c r="B12" i="1"/>
  <c r="B26" i="1"/>
  <c r="B24" i="1"/>
  <c r="A14" i="2"/>
  <c r="A12" i="2"/>
  <c r="A4" i="2"/>
  <c r="J15" i="1" l="1"/>
  <c r="B27" i="1"/>
  <c r="A13" i="2" s="1"/>
  <c r="B28" i="1"/>
  <c r="A15" i="2" s="1"/>
  <c r="R21" i="1"/>
  <c r="L2" i="1" l="1"/>
  <c r="L3" i="1" s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39" i="1" s="1"/>
  <c r="B29" i="1" l="1"/>
  <c r="A17" i="2" s="1"/>
  <c r="D7" i="2" s="1"/>
  <c r="D11" i="2" s="1"/>
  <c r="A20" i="1" s="1"/>
  <c r="U10" i="1" s="1"/>
  <c r="G43" i="1"/>
  <c r="F3" i="1"/>
  <c r="H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3" i="1"/>
  <c r="A18" i="1" l="1"/>
  <c r="F4" i="1"/>
  <c r="K31" i="1" l="1"/>
  <c r="D13" i="2" s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H4" i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F43" i="1"/>
  <c r="A7" i="1" s="1"/>
  <c r="H28" i="1" l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A10" i="1" s="1"/>
  <c r="F11" i="2" s="1"/>
  <c r="F13" i="2" s="1"/>
  <c r="A14" i="1" l="1"/>
  <c r="O14" i="1"/>
</calcChain>
</file>

<file path=xl/sharedStrings.xml><?xml version="1.0" encoding="utf-8"?>
<sst xmlns="http://schemas.openxmlformats.org/spreadsheetml/2006/main" count="65" uniqueCount="65">
  <si>
    <t>Αρχικό ποσό</t>
  </si>
  <si>
    <t>Επιτόκιο (%)</t>
  </si>
  <si>
    <t>Διάρκεια (έτη)</t>
  </si>
  <si>
    <t xml:space="preserve">Έτος </t>
  </si>
  <si>
    <t>Ετήσια Αναπροσαρμογή (%)</t>
  </si>
  <si>
    <t>Regular Premium</t>
  </si>
  <si>
    <t>Top Up</t>
  </si>
  <si>
    <t>(Αρχή έτους)</t>
  </si>
  <si>
    <t>Αξία Λογαριασμού</t>
  </si>
  <si>
    <t>(Τέλος του έτους)</t>
  </si>
  <si>
    <t>Αξία στη Λήξη</t>
  </si>
  <si>
    <t>Σύνολο</t>
  </si>
  <si>
    <t>Ηλικία στη Λήξη</t>
  </si>
  <si>
    <t>AGE</t>
  </si>
  <si>
    <t>ΑΝΔΡΕΣ/ΓΥΝΑΙΚΕΣ</t>
  </si>
  <si>
    <t>ΙΣΟΒΙΑ</t>
  </si>
  <si>
    <t>Ενδεικτική Ισόβια Μηναία Σύνταξη</t>
  </si>
  <si>
    <t>Ενδεικτικό Απαιτούμενο Κεφάλαιο</t>
  </si>
  <si>
    <t>more</t>
  </si>
  <si>
    <t>Ετησιο Εισοδημα</t>
  </si>
  <si>
    <t>Συντελεστής Αναπλήρωσης</t>
  </si>
  <si>
    <t>Ανταποδοτική Σύνταξη</t>
  </si>
  <si>
    <t>Εθνική Σύνταξη</t>
  </si>
  <si>
    <t>Κατώτατος Μισθός</t>
  </si>
  <si>
    <t>€586 το μήνα</t>
  </si>
  <si>
    <t>Εκτιμώμενα Χρόνια Εργασίας</t>
  </si>
  <si>
    <t>Ελάχιστο Εισόδημα : 586</t>
  </si>
  <si>
    <t>Οι υπολογισμοί είναι σε σημερινές αξίες</t>
  </si>
  <si>
    <t>Οι υπολογισμοί είναι ενδεικτικοί</t>
  </si>
  <si>
    <t>Σημειώσεις</t>
  </si>
  <si>
    <t>O MO εισοδήματος αφορά στο Μικτό Εισόδημα του εργαζομένου</t>
  </si>
  <si>
    <t>Ενδεικτική Αξία στη Λήξη</t>
  </si>
  <si>
    <t>Ενδεικτική Μηνιαία Σύνταξη στη Λήξη</t>
  </si>
  <si>
    <t>Επιθυμητή Συνολική Μηνιαία Σύνταξη</t>
  </si>
  <si>
    <t>Μέσος Όρος Μηνιαίου Εισοδήματος</t>
  </si>
  <si>
    <t>Συνολική Μηνιαία Σύνταξη (Μικτά)</t>
  </si>
  <si>
    <t>Interest</t>
  </si>
  <si>
    <t>Year</t>
  </si>
  <si>
    <t>Year Return</t>
  </si>
  <si>
    <t>Cumulative</t>
  </si>
  <si>
    <t>Case Sum</t>
  </si>
  <si>
    <t>Initial Premium</t>
  </si>
  <si>
    <t>r</t>
  </si>
  <si>
    <t>e</t>
  </si>
  <si>
    <t>t</t>
  </si>
  <si>
    <t>n</t>
  </si>
  <si>
    <t>l</t>
  </si>
  <si>
    <t>Start</t>
  </si>
  <si>
    <t>Ενδεικτική Ετήσια Απόδοση</t>
  </si>
  <si>
    <t>Αρχικό Ποσό Μηνιαίας Αποταμίευσης</t>
  </si>
  <si>
    <t>Χρόνια Εργασίας μέχρι Σήμερα</t>
  </si>
  <si>
    <t>Αρχικό Ποσό Εφάπαξ Καταβολής</t>
  </si>
  <si>
    <r>
      <rPr>
        <b/>
        <sz val="11"/>
        <color theme="1"/>
        <rFont val="Calibri"/>
        <family val="2"/>
        <charset val="161"/>
        <scheme val="minor"/>
      </rPr>
      <t xml:space="preserve">Ενδεικτικό Απαιτούμενο Κεφάλαιο : </t>
    </r>
    <r>
      <rPr>
        <sz val="11"/>
        <color theme="1"/>
        <rFont val="Calibri"/>
        <family val="2"/>
        <charset val="161"/>
        <scheme val="minor"/>
      </rPr>
      <t xml:space="preserve">              Ισόποσες μηνιαίες καταβολές τόσες ώστε να συμπληρώνεται η κρατική σύνταξη και να φτάνει την επιθυμητή.</t>
    </r>
  </si>
  <si>
    <r>
      <rPr>
        <b/>
        <sz val="11"/>
        <color theme="1"/>
        <rFont val="Calibri"/>
        <family val="2"/>
        <charset val="161"/>
        <scheme val="minor"/>
      </rPr>
      <t xml:space="preserve">Υπολογισμός Απαιτούμενης Ετήσιας                  Αποταμίευσης : </t>
    </r>
    <r>
      <rPr>
        <sz val="11"/>
        <color theme="1"/>
        <rFont val="Calibri"/>
        <family val="2"/>
        <charset val="161"/>
        <scheme val="minor"/>
      </rPr>
      <t xml:space="preserve"> (1) Για σταθερό ποσό (2) Χρησιμοποιείται η Ενδεικτική Ετήσια Απόδοση (3) Χρησιοποιείται o χρόνος μέχρι την εκτιμώμενη συνταξιοδότηση</t>
    </r>
  </si>
  <si>
    <r>
      <rPr>
        <b/>
        <sz val="11"/>
        <color theme="1"/>
        <rFont val="Calibri"/>
        <family val="2"/>
        <charset val="161"/>
        <scheme val="minor"/>
      </rPr>
      <t>Διαφορά</t>
    </r>
    <r>
      <rPr>
        <sz val="11"/>
        <color theme="1"/>
        <rFont val="Calibri"/>
        <family val="2"/>
        <charset val="161"/>
        <scheme val="minor"/>
      </rPr>
      <t xml:space="preserve"> : Υπολογίζει τη διαφορά μεταξύ της Επιθυμητής Συνολικής Μηνιαίας Σύνταξης και της κρατικής σύνταξης</t>
    </r>
  </si>
  <si>
    <t xml:space="preserve">Χρόνια Εργασίας έως τη Σύνταξη </t>
  </si>
  <si>
    <t>Εκτίμηση</t>
  </si>
  <si>
    <t>Υπολογισμός Σύνταξης - Να καταβάλλεται            μέχρι την ηλικία των :</t>
  </si>
  <si>
    <t>Απαιτούμενη Ιδιωτική Σύνταξη</t>
  </si>
  <si>
    <r>
      <t xml:space="preserve">Ηλικία </t>
    </r>
    <r>
      <rPr>
        <sz val="11"/>
        <color theme="1"/>
        <rFont val="Calibri"/>
        <family val="2"/>
        <charset val="161"/>
        <scheme val="minor"/>
      </rPr>
      <t>(σημερινή)</t>
    </r>
  </si>
  <si>
    <t>Συμπληρωματική Σύνταξη</t>
  </si>
  <si>
    <t>Κρατική Σύνταξη Γήρατος</t>
  </si>
  <si>
    <t>Αποταμιευτικό Πρόγραμμα</t>
  </si>
  <si>
    <r>
      <t>Απαιτούμενο Κεφάλαιο</t>
    </r>
    <r>
      <rPr>
        <sz val="11"/>
        <color theme="0"/>
        <rFont val="Calibri"/>
        <family val="2"/>
        <charset val="161"/>
        <scheme val="minor"/>
      </rPr>
      <t xml:space="preserve"> (για σύνταξη ως τα 85)</t>
    </r>
  </si>
  <si>
    <t>Επιθυμητό σύνολο Κρατικής και Ιδιωτικής Σύνταξης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</si>
</sst>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b/>
      <sz val="11"/>
      <color theme="8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sz val="20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b/>
      <sz val="20"/>
      <color theme="0"/>
      <name val="Calibri"/>
      <family val="2"/>
      <charset val="161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/>
    <xf numFmtId="1" fontId="1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 vertical="center"/>
    </xf>
    <xf numFmtId="0" fontId="3" fillId="3" borderId="0" xfId="0" applyFont="1" applyFill="1" applyAlignment="1" applyProtection="1">
      <alignment horizontal="center" vertical="center"/>
    </xf>
    <xf numFmtId="4" fontId="0" fillId="0" borderId="0" xfId="0" applyNumberFormat="1" applyAlignment="1" applyProtection="1">
      <alignment horizontal="center" vertical="center"/>
    </xf>
    <xf numFmtId="0" fontId="1" fillId="4" borderId="1" xfId="0" applyFont="1" applyFill="1" applyBorder="1" applyAlignment="1"/>
    <xf numFmtId="10" fontId="0" fillId="6" borderId="1" xfId="0" applyNumberFormat="1" applyFill="1" applyBorder="1" applyAlignment="1" applyProtection="1">
      <alignment horizontal="center"/>
      <protection locked="0"/>
    </xf>
    <xf numFmtId="0" fontId="4" fillId="6" borderId="1" xfId="0" applyFont="1" applyFill="1" applyBorder="1"/>
    <xf numFmtId="10" fontId="0" fillId="0" borderId="0" xfId="0" applyNumberFormat="1"/>
    <xf numFmtId="9" fontId="0" fillId="0" borderId="0" xfId="0" applyNumberFormat="1"/>
    <xf numFmtId="1" fontId="0" fillId="0" borderId="0" xfId="0" applyNumberFormat="1" applyAlignment="1" applyProtection="1">
      <alignment horizontal="center" vertical="center"/>
    </xf>
    <xf numFmtId="3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3" fontId="8" fillId="11" borderId="3" xfId="0" applyNumberFormat="1" applyFont="1" applyFill="1" applyBorder="1" applyAlignment="1" applyProtection="1">
      <alignment horizontal="center" vertical="center"/>
      <protection locked="0"/>
    </xf>
    <xf numFmtId="3" fontId="8" fillId="0" borderId="3" xfId="0" applyNumberFormat="1" applyFont="1" applyBorder="1" applyAlignment="1" applyProtection="1">
      <alignment horizontal="center" vertical="center"/>
    </xf>
    <xf numFmtId="3" fontId="8" fillId="0" borderId="4" xfId="0" applyNumberFormat="1" applyFont="1" applyBorder="1" applyAlignment="1" applyProtection="1">
      <alignment horizontal="center" vertical="center"/>
    </xf>
    <xf numFmtId="9" fontId="8" fillId="11" borderId="3" xfId="0" applyNumberFormat="1" applyFont="1" applyFill="1" applyBorder="1" applyAlignment="1" applyProtection="1">
      <alignment horizontal="center" vertical="center"/>
      <protection locked="0"/>
    </xf>
    <xf numFmtId="3" fontId="9" fillId="6" borderId="4" xfId="0" applyNumberFormat="1" applyFont="1" applyFill="1" applyBorder="1" applyAlignment="1" applyProtection="1">
      <alignment horizontal="center" vertical="center"/>
    </xf>
    <xf numFmtId="3" fontId="10" fillId="10" borderId="4" xfId="0" applyNumberFormat="1" applyFont="1" applyFill="1" applyBorder="1" applyAlignment="1" applyProtection="1">
      <alignment horizontal="center" vertical="center"/>
    </xf>
    <xf numFmtId="1" fontId="0" fillId="0" borderId="0" xfId="0" applyNumberFormat="1"/>
    <xf numFmtId="3" fontId="0" fillId="0" borderId="1" xfId="0" applyNumberFormat="1" applyBorder="1" applyAlignment="1">
      <alignment horizontal="center"/>
    </xf>
    <xf numFmtId="3" fontId="8" fillId="11" borderId="4" xfId="0" applyNumberFormat="1" applyFont="1" applyFill="1" applyBorder="1" applyAlignment="1" applyProtection="1">
      <alignment horizontal="center" vertical="center"/>
      <protection locked="0"/>
    </xf>
    <xf numFmtId="9" fontId="8" fillId="11" borderId="4" xfId="0" applyNumberFormat="1" applyFont="1" applyFill="1" applyBorder="1" applyAlignment="1" applyProtection="1">
      <alignment horizontal="center" vertical="center"/>
      <protection locked="0"/>
    </xf>
    <xf numFmtId="3" fontId="10" fillId="13" borderId="0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7" fillId="12" borderId="2" xfId="0" applyFont="1" applyFill="1" applyBorder="1" applyAlignment="1" applyProtection="1">
      <alignment horizontal="center" vertical="center" wrapText="1"/>
    </xf>
    <xf numFmtId="0" fontId="0" fillId="13" borderId="0" xfId="0" applyFill="1" applyProtection="1"/>
    <xf numFmtId="0" fontId="5" fillId="4" borderId="3" xfId="0" applyFont="1" applyFill="1" applyBorder="1" applyAlignment="1" applyProtection="1">
      <alignment horizontal="center"/>
    </xf>
    <xf numFmtId="0" fontId="5" fillId="9" borderId="3" xfId="0" applyFont="1" applyFill="1" applyBorder="1" applyAlignment="1" applyProtection="1">
      <alignment horizontal="center"/>
    </xf>
    <xf numFmtId="3" fontId="8" fillId="13" borderId="0" xfId="0" applyNumberFormat="1" applyFont="1" applyFill="1" applyBorder="1" applyAlignment="1" applyProtection="1">
      <alignment horizontal="center" vertical="center"/>
    </xf>
    <xf numFmtId="0" fontId="5" fillId="4" borderId="5" xfId="0" applyFont="1" applyFill="1" applyBorder="1" applyAlignment="1" applyProtection="1">
      <alignment horizontal="center"/>
    </xf>
    <xf numFmtId="0" fontId="5" fillId="9" borderId="5" xfId="0" applyFont="1" applyFill="1" applyBorder="1" applyAlignment="1" applyProtection="1">
      <alignment horizontal="center"/>
    </xf>
    <xf numFmtId="0" fontId="6" fillId="13" borderId="0" xfId="0" applyFont="1" applyFill="1" applyAlignment="1" applyProtection="1">
      <alignment horizontal="left"/>
    </xf>
    <xf numFmtId="0" fontId="0" fillId="13" borderId="0" xfId="0" applyFill="1" applyAlignment="1" applyProtection="1">
      <alignment horizontal="center"/>
    </xf>
    <xf numFmtId="0" fontId="6" fillId="8" borderId="0" xfId="0" applyFont="1" applyFill="1" applyAlignment="1" applyProtection="1">
      <alignment horizontal="left"/>
    </xf>
    <xf numFmtId="0" fontId="0" fillId="0" borderId="0" xfId="0" applyProtection="1"/>
    <xf numFmtId="0" fontId="0" fillId="0" borderId="0" xfId="0" applyFont="1" applyFill="1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center"/>
    </xf>
    <xf numFmtId="0" fontId="6" fillId="7" borderId="8" xfId="0" applyFont="1" applyFill="1" applyBorder="1" applyAlignment="1" applyProtection="1"/>
    <xf numFmtId="0" fontId="5" fillId="4" borderId="9" xfId="0" applyFont="1" applyFill="1" applyBorder="1" applyAlignment="1" applyProtection="1">
      <alignment horizontal="center"/>
    </xf>
    <xf numFmtId="0" fontId="8" fillId="11" borderId="8" xfId="0" applyFont="1" applyFill="1" applyBorder="1" applyAlignment="1" applyProtection="1">
      <alignment horizontal="center" vertical="center"/>
      <protection locked="0"/>
    </xf>
    <xf numFmtId="3" fontId="8" fillId="0" borderId="9" xfId="0" applyNumberFormat="1" applyFont="1" applyBorder="1" applyAlignment="1" applyProtection="1">
      <alignment horizontal="center" vertic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</xf>
    <xf numFmtId="0" fontId="6" fillId="7" borderId="8" xfId="0" applyFont="1" applyFill="1" applyBorder="1" applyAlignment="1" applyProtection="1">
      <alignment horizontal="center"/>
    </xf>
    <xf numFmtId="0" fontId="6" fillId="7" borderId="9" xfId="0" applyFont="1" applyFill="1" applyBorder="1" applyAlignment="1" applyProtection="1">
      <alignment horizont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center" vertical="center"/>
    </xf>
    <xf numFmtId="3" fontId="9" fillId="6" borderId="10" xfId="0" applyNumberFormat="1" applyFont="1" applyFill="1" applyBorder="1" applyAlignment="1" applyProtection="1">
      <alignment horizontal="center" vertical="center"/>
    </xf>
    <xf numFmtId="3" fontId="9" fillId="6" borderId="11" xfId="0" applyNumberFormat="1" applyFont="1" applyFill="1" applyBorder="1" applyAlignment="1" applyProtection="1">
      <alignment horizontal="center" vertical="center"/>
    </xf>
    <xf numFmtId="0" fontId="0" fillId="0" borderId="0" xfId="0" applyFont="1" applyFill="1" applyAlignment="1" applyProtection="1">
      <alignment horizontal="left" vertical="top" wrapText="1"/>
    </xf>
    <xf numFmtId="0" fontId="0" fillId="13" borderId="0" xfId="0" applyFont="1" applyFill="1" applyAlignment="1" applyProtection="1">
      <alignment horizontal="left" vertical="top" wrapText="1"/>
    </xf>
    <xf numFmtId="0" fontId="7" fillId="12" borderId="6" xfId="0" applyFont="1" applyFill="1" applyBorder="1" applyAlignment="1" applyProtection="1">
      <alignment horizontal="center" vertical="center" wrapText="1"/>
    </xf>
    <xf numFmtId="0" fontId="7" fillId="12" borderId="7" xfId="0" applyFont="1" applyFill="1" applyBorder="1" applyAlignment="1" applyProtection="1">
      <alignment horizontal="center" vertical="center" wrapText="1"/>
    </xf>
    <xf numFmtId="3" fontId="8" fillId="11" borderId="8" xfId="0" applyNumberFormat="1" applyFont="1" applyFill="1" applyBorder="1" applyAlignment="1" applyProtection="1">
      <alignment horizontal="center" vertical="center"/>
      <protection locked="0"/>
    </xf>
    <xf numFmtId="3" fontId="8" fillId="11" borderId="9" xfId="0" applyNumberFormat="1" applyFont="1" applyFill="1" applyBorder="1" applyAlignment="1" applyProtection="1">
      <alignment horizontal="center" vertical="center"/>
      <protection locked="0"/>
    </xf>
    <xf numFmtId="0" fontId="8" fillId="11" borderId="8" xfId="0" applyFont="1" applyFill="1" applyBorder="1" applyAlignment="1" applyProtection="1">
      <alignment horizontal="center" vertical="center"/>
      <protection locked="0"/>
    </xf>
    <xf numFmtId="0" fontId="8" fillId="11" borderId="9" xfId="0" applyFont="1" applyFill="1" applyBorder="1" applyAlignment="1" applyProtection="1">
      <alignment horizontal="center" vertical="center"/>
      <protection locked="0"/>
    </xf>
    <xf numFmtId="10" fontId="8" fillId="0" borderId="8" xfId="0" applyNumberFormat="1" applyFont="1" applyBorder="1" applyAlignment="1" applyProtection="1">
      <alignment horizontal="center" vertical="center"/>
    </xf>
    <xf numFmtId="10" fontId="8" fillId="0" borderId="9" xfId="0" applyNumberFormat="1" applyFont="1" applyBorder="1" applyAlignment="1" applyProtection="1">
      <alignment horizontal="center" vertical="center"/>
    </xf>
    <xf numFmtId="3" fontId="8" fillId="0" borderId="8" xfId="0" applyNumberFormat="1" applyFont="1" applyBorder="1" applyAlignment="1" applyProtection="1">
      <alignment horizontal="center" vertical="center"/>
    </xf>
    <xf numFmtId="3" fontId="8" fillId="0" borderId="9" xfId="0" applyNumberFormat="1" applyFont="1" applyBorder="1" applyAlignment="1" applyProtection="1">
      <alignment horizontal="center" vertical="center"/>
    </xf>
    <xf numFmtId="0" fontId="1" fillId="5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ont>
        <b/>
        <i val="0"/>
        <color theme="0"/>
      </font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zoomScale="150" zoomScaleNormal="150" zoomScaleSheetLayoutView="110" workbookViewId="0">
      <selection activeCell="D9" sqref="D9"/>
    </sheetView>
  </sheetViews>
  <sheetFormatPr defaultColWidth="9.109375" defaultRowHeight="14.4" x14ac:dyDescent="0.3"/>
  <cols>
    <col min="1" max="1" width="29.6640625" style="40" customWidth="1"/>
    <col min="2" max="2" width="10.6640625" style="40" customWidth="1"/>
    <col min="3" max="3" width="3.109375" style="33" customWidth="1"/>
    <col min="4" max="4" width="47.6640625" style="33" customWidth="1"/>
    <col min="5" max="5" width="2.88671875" style="33" customWidth="1"/>
    <col min="6" max="6" width="40.6640625" style="33" bestFit="1" customWidth="1"/>
    <col min="7" max="16384" width="9.109375" style="33"/>
  </cols>
  <sheetData>
    <row r="1" spans="1:6" ht="18" x14ac:dyDescent="0.3">
      <c r="A1" s="60" t="s">
        <v>61</v>
      </c>
      <c r="B1" s="61"/>
      <c r="D1" s="32" t="s">
        <v>60</v>
      </c>
      <c r="F1" s="32" t="s">
        <v>62</v>
      </c>
    </row>
    <row r="2" spans="1:6" x14ac:dyDescent="0.3">
      <c r="A2" s="52" t="s">
        <v>59</v>
      </c>
      <c r="B2" s="53"/>
      <c r="D2" s="34" t="s">
        <v>64</v>
      </c>
      <c r="F2" s="35" t="s">
        <v>49</v>
      </c>
    </row>
    <row r="3" spans="1:6" ht="30" customHeight="1" thickBot="1" x14ac:dyDescent="0.35">
      <c r="A3" s="62">
        <v>30</v>
      </c>
      <c r="B3" s="63"/>
      <c r="D3" s="28">
        <v>1000</v>
      </c>
      <c r="F3" s="20">
        <v>300</v>
      </c>
    </row>
    <row r="4" spans="1:6" ht="14.4" customHeight="1" x14ac:dyDescent="0.3">
      <c r="A4" s="52" t="str">
        <f>Sheet1!A24</f>
        <v>Μέσος Όρος Μηνιαίου Εισοδήματος</v>
      </c>
      <c r="B4" s="53"/>
      <c r="D4" s="36"/>
      <c r="F4" s="35" t="s">
        <v>51</v>
      </c>
    </row>
    <row r="5" spans="1:6" ht="30" customHeight="1" thickBot="1" x14ac:dyDescent="0.35">
      <c r="A5" s="62">
        <v>1200</v>
      </c>
      <c r="B5" s="63"/>
      <c r="D5" s="36"/>
      <c r="F5" s="20">
        <v>0</v>
      </c>
    </row>
    <row r="6" spans="1:6" x14ac:dyDescent="0.3">
      <c r="A6" s="52" t="s">
        <v>50</v>
      </c>
      <c r="B6" s="53"/>
      <c r="D6" s="37" t="s">
        <v>58</v>
      </c>
      <c r="F6" s="35" t="s">
        <v>48</v>
      </c>
    </row>
    <row r="7" spans="1:6" ht="30" customHeight="1" thickBot="1" x14ac:dyDescent="0.35">
      <c r="A7" s="64">
        <v>5</v>
      </c>
      <c r="B7" s="65"/>
      <c r="D7" s="25">
        <f>IF(D3=0, "", IF(D3="", "",D3-A17))</f>
        <v>343.12</v>
      </c>
      <c r="F7" s="23">
        <v>0.02</v>
      </c>
    </row>
    <row r="8" spans="1:6" ht="14.4" customHeight="1" x14ac:dyDescent="0.3">
      <c r="A8" s="46" t="s">
        <v>55</v>
      </c>
      <c r="B8" s="47" t="s">
        <v>56</v>
      </c>
      <c r="D8" s="30"/>
      <c r="F8" s="35" t="str">
        <f>Sheet1!A4</f>
        <v>Ετήσια Αναπροσαρμογή (%)</v>
      </c>
    </row>
    <row r="9" spans="1:6" ht="30" customHeight="1" thickBot="1" x14ac:dyDescent="0.35">
      <c r="A9" s="48">
        <v>22</v>
      </c>
      <c r="B9" s="49">
        <f>IF(A7+A3 = 0, "", IF(62-A3+A7 &gt;= 40, 62-A3, IF(67-A3+A7 &lt; 40, 67-A3, 40-A7)))</f>
        <v>35</v>
      </c>
      <c r="D9" s="30"/>
      <c r="F9" s="29">
        <v>0.02</v>
      </c>
    </row>
    <row r="10" spans="1:6" ht="14.4" customHeight="1" x14ac:dyDescent="0.3">
      <c r="A10" s="52" t="str">
        <f>Sheet1!A26</f>
        <v>Συντελεστής Αναπλήρωσης</v>
      </c>
      <c r="B10" s="53"/>
      <c r="D10" s="37" t="s">
        <v>63</v>
      </c>
      <c r="F10" s="38" t="s">
        <v>31</v>
      </c>
    </row>
    <row r="11" spans="1:6" ht="30" customHeight="1" thickBot="1" x14ac:dyDescent="0.35">
      <c r="A11" s="66">
        <f>IF(A3+A5+A7+A9 &gt; 0, VLOOKUP(A7+A9, Sheet1!Z1:AA38, 2, 1), "")</f>
        <v>0.22740000000000002</v>
      </c>
      <c r="B11" s="67"/>
      <c r="D11" s="21">
        <f>IF(D7 = "", "", (A28-A3-A9) * 12 * (D3-A17))</f>
        <v>135875.51999999999</v>
      </c>
      <c r="F11" s="24">
        <f>Sheet1!A10</f>
        <v>122440.20946601758</v>
      </c>
    </row>
    <row r="12" spans="1:6" x14ac:dyDescent="0.3">
      <c r="A12" s="52" t="str">
        <f>Sheet1!A27</f>
        <v>Ανταποδοτική Σύνταξη</v>
      </c>
      <c r="B12" s="53"/>
      <c r="D12" s="34" t="str">
        <f>IF(F9=0, " Απαιτούμενο Ποσό Μηνιαίας Αποταμίευσης", " Απαιτούμενο Αρχικό Ποσό Μηνιαίας Αποταμίευσης")</f>
        <v xml:space="preserve"> Απαιτούμενο Αρχικό Ποσό Μηνιαίας Αποταμίευσης</v>
      </c>
      <c r="F12" s="38" t="s">
        <v>32</v>
      </c>
    </row>
    <row r="13" spans="1:6" ht="30" customHeight="1" thickBot="1" x14ac:dyDescent="0.35">
      <c r="A13" s="68">
        <f>IF(A11="", "", Sheet1!B27)</f>
        <v>272.88</v>
      </c>
      <c r="B13" s="69"/>
      <c r="D13" s="22">
        <f>IF(D7="","",IF(F9=0,Sheet1!U10,Sheet1!K31)/12)</f>
        <v>332.91886854069912</v>
      </c>
      <c r="F13" s="24">
        <f>IF(F11="", "", F11/((A28-A3-A9)*12))</f>
        <v>309.19244814650904</v>
      </c>
    </row>
    <row r="14" spans="1:6" x14ac:dyDescent="0.3">
      <c r="A14" s="52" t="str">
        <f>Sheet1!A28</f>
        <v>Εθνική Σύνταξη</v>
      </c>
      <c r="B14" s="53"/>
    </row>
    <row r="15" spans="1:6" ht="30" customHeight="1" x14ac:dyDescent="0.3">
      <c r="A15" s="54">
        <f>Sheet1!B28</f>
        <v>384</v>
      </c>
      <c r="B15" s="55"/>
    </row>
    <row r="16" spans="1:6" x14ac:dyDescent="0.3">
      <c r="A16" s="52" t="str">
        <f>Sheet1!A29</f>
        <v>Συνολική Μηνιαία Σύνταξη (Μικτά)</v>
      </c>
      <c r="B16" s="53"/>
    </row>
    <row r="17" spans="1:6" ht="30" customHeight="1" thickBot="1" x14ac:dyDescent="0.35">
      <c r="A17" s="56">
        <f>IF(A13 = "", A15, Sheet1!B29)</f>
        <v>656.88</v>
      </c>
      <c r="B17" s="57"/>
      <c r="F17" s="39"/>
    </row>
    <row r="18" spans="1:6" x14ac:dyDescent="0.3">
      <c r="F18" s="59"/>
    </row>
    <row r="19" spans="1:6" ht="30" customHeight="1" x14ac:dyDescent="0.3">
      <c r="A19" s="41" t="s">
        <v>29</v>
      </c>
      <c r="B19" s="41"/>
      <c r="C19" s="41"/>
      <c r="D19" s="41"/>
      <c r="E19" s="39"/>
      <c r="F19" s="59"/>
    </row>
    <row r="20" spans="1:6" ht="43.2" x14ac:dyDescent="0.3">
      <c r="A20" s="58" t="s">
        <v>30</v>
      </c>
      <c r="B20" s="58"/>
      <c r="C20" s="42"/>
      <c r="D20" s="43" t="s">
        <v>52</v>
      </c>
      <c r="F20" s="59"/>
    </row>
    <row r="21" spans="1:6" x14ac:dyDescent="0.3">
      <c r="A21" s="50" t="s">
        <v>26</v>
      </c>
      <c r="B21" s="50"/>
      <c r="C21" s="42"/>
      <c r="D21" s="58" t="s">
        <v>53</v>
      </c>
    </row>
    <row r="22" spans="1:6" x14ac:dyDescent="0.3">
      <c r="A22" s="50" t="s">
        <v>27</v>
      </c>
      <c r="B22" s="50"/>
      <c r="C22" s="42"/>
      <c r="D22" s="58"/>
    </row>
    <row r="23" spans="1:6" ht="15" customHeight="1" x14ac:dyDescent="0.3">
      <c r="A23" s="50" t="s">
        <v>28</v>
      </c>
      <c r="B23" s="50"/>
      <c r="C23" s="42"/>
      <c r="D23" s="58"/>
    </row>
    <row r="24" spans="1:6" x14ac:dyDescent="0.3">
      <c r="A24" s="44"/>
      <c r="B24" s="44"/>
      <c r="C24" s="42"/>
      <c r="D24" s="58"/>
    </row>
    <row r="25" spans="1:6" x14ac:dyDescent="0.3">
      <c r="A25" s="44"/>
      <c r="B25" s="44"/>
      <c r="C25" s="42"/>
      <c r="D25" s="58"/>
    </row>
    <row r="26" spans="1:6" ht="14.4" customHeight="1" x14ac:dyDescent="0.3">
      <c r="A26" s="51" t="s">
        <v>57</v>
      </c>
      <c r="B26" s="51"/>
      <c r="C26" s="42"/>
      <c r="D26" s="58" t="s">
        <v>54</v>
      </c>
    </row>
    <row r="27" spans="1:6" x14ac:dyDescent="0.3">
      <c r="A27" s="51"/>
      <c r="B27" s="51"/>
      <c r="C27" s="42"/>
      <c r="D27" s="58"/>
    </row>
    <row r="28" spans="1:6" x14ac:dyDescent="0.3">
      <c r="A28" s="31">
        <v>85</v>
      </c>
      <c r="B28" s="31"/>
      <c r="C28" s="42"/>
      <c r="D28" s="58"/>
    </row>
    <row r="29" spans="1:6" x14ac:dyDescent="0.3">
      <c r="A29" s="45"/>
      <c r="B29" s="45"/>
      <c r="C29" s="42"/>
      <c r="D29" s="58"/>
    </row>
    <row r="30" spans="1:6" x14ac:dyDescent="0.3">
      <c r="A30" s="45"/>
      <c r="B30" s="45"/>
      <c r="C30" s="42"/>
      <c r="D30" s="58"/>
    </row>
  </sheetData>
  <sheetProtection password="C4BE" sheet="1" objects="1" scenarios="1"/>
  <mergeCells count="23">
    <mergeCell ref="D21:D25"/>
    <mergeCell ref="D26:D30"/>
    <mergeCell ref="F18:F20"/>
    <mergeCell ref="A1:B1"/>
    <mergeCell ref="A2:B2"/>
    <mergeCell ref="A3:B3"/>
    <mergeCell ref="A4:B4"/>
    <mergeCell ref="A5:B5"/>
    <mergeCell ref="A6:B6"/>
    <mergeCell ref="A7:B7"/>
    <mergeCell ref="A10:B10"/>
    <mergeCell ref="A11:B11"/>
    <mergeCell ref="A12:B12"/>
    <mergeCell ref="A13:B13"/>
    <mergeCell ref="A21:B21"/>
    <mergeCell ref="A22:B22"/>
    <mergeCell ref="A23:B23"/>
    <mergeCell ref="A26:B27"/>
    <mergeCell ref="A14:B14"/>
    <mergeCell ref="A15:B15"/>
    <mergeCell ref="A16:B16"/>
    <mergeCell ref="A17:B17"/>
    <mergeCell ref="A20:B20"/>
  </mergeCells>
  <conditionalFormatting sqref="D7">
    <cfRule type="cellIs" dxfId="0" priority="1" operator="between">
      <formula>-300</formula>
      <formula>300</formula>
    </cfRule>
  </conditionalFormatting>
  <pageMargins left="0.7" right="0.7" top="0.75" bottom="0.75" header="0.3" footer="0.3"/>
  <pageSetup paperSize="9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1"/>
  <sheetViews>
    <sheetView topLeftCell="N70" zoomScaleNormal="100" workbookViewId="0">
      <selection activeCell="W86" sqref="W86"/>
    </sheetView>
  </sheetViews>
  <sheetFormatPr defaultRowHeight="14.4" x14ac:dyDescent="0.3"/>
  <cols>
    <col min="1" max="1" width="26.44140625" bestFit="1" customWidth="1"/>
    <col min="2" max="2" width="19.44140625" customWidth="1"/>
    <col min="4" max="4" width="8.88671875" customWidth="1"/>
    <col min="5" max="5" width="8.88671875" style="1" customWidth="1"/>
    <col min="6" max="6" width="16.44140625" style="2" customWidth="1"/>
    <col min="7" max="7" width="17.88671875" style="1" customWidth="1"/>
    <col min="8" max="8" width="18" style="2" customWidth="1"/>
    <col min="9" max="9" width="8.88671875" customWidth="1"/>
    <col min="11" max="11" width="10.5546875" customWidth="1"/>
    <col min="12" max="12" width="9.109375" style="9" customWidth="1"/>
    <col min="13" max="13" width="17.44140625" style="9" customWidth="1"/>
    <col min="14" max="14" width="12.6640625" style="9" customWidth="1"/>
    <col min="15" max="16" width="9.109375" style="9" customWidth="1"/>
    <col min="17" max="19" width="9.109375" customWidth="1"/>
    <col min="23" max="23" width="11.33203125" style="15" bestFit="1" customWidth="1"/>
    <col min="24" max="24" width="13.44140625" customWidth="1"/>
  </cols>
  <sheetData>
    <row r="1" spans="1:27" x14ac:dyDescent="0.3">
      <c r="A1" s="7" t="s">
        <v>0</v>
      </c>
      <c r="B1" s="18">
        <f>Sheet2!F3*12</f>
        <v>3600</v>
      </c>
      <c r="E1" s="75" t="s">
        <v>3</v>
      </c>
      <c r="F1" s="76" t="s">
        <v>5</v>
      </c>
      <c r="G1" s="3" t="s">
        <v>6</v>
      </c>
      <c r="H1" s="4" t="s">
        <v>8</v>
      </c>
      <c r="L1" s="9" t="s">
        <v>13</v>
      </c>
      <c r="M1" s="9" t="s">
        <v>14</v>
      </c>
      <c r="N1" s="9" t="s">
        <v>15</v>
      </c>
      <c r="U1" t="s">
        <v>36</v>
      </c>
      <c r="V1" t="s">
        <v>37</v>
      </c>
      <c r="W1" s="15" t="s">
        <v>38</v>
      </c>
      <c r="X1" t="s">
        <v>39</v>
      </c>
      <c r="Z1">
        <v>15</v>
      </c>
      <c r="AA1">
        <f>Q2*R2</f>
        <v>0.11550000000000001</v>
      </c>
    </row>
    <row r="2" spans="1:27" x14ac:dyDescent="0.3">
      <c r="A2" s="7" t="s">
        <v>1</v>
      </c>
      <c r="B2" s="13">
        <f>IF(Sheet2!F7=Sheet2!F9, Sheet2!F7-0.000001, Sheet2!F7)</f>
        <v>1.9998999999999999E-2</v>
      </c>
      <c r="D2">
        <v>1</v>
      </c>
      <c r="E2" s="75"/>
      <c r="F2" s="76"/>
      <c r="G2" s="3" t="s">
        <v>7</v>
      </c>
      <c r="H2" s="4" t="s">
        <v>9</v>
      </c>
      <c r="K2">
        <v>0</v>
      </c>
      <c r="L2" s="10" t="e">
        <f>B12</f>
        <v>#REF!</v>
      </c>
      <c r="M2" s="9">
        <v>50</v>
      </c>
      <c r="N2" s="9">
        <v>3.32</v>
      </c>
      <c r="Q2">
        <v>15</v>
      </c>
      <c r="R2" s="15">
        <v>7.7000000000000002E-3</v>
      </c>
      <c r="U2" s="16">
        <f>1+Sheet2!F7</f>
        <v>1.02</v>
      </c>
      <c r="V2">
        <v>1</v>
      </c>
      <c r="W2" s="15">
        <f>V2*U2</f>
        <v>1.02</v>
      </c>
      <c r="X2" s="15">
        <f>W2</f>
        <v>1.02</v>
      </c>
      <c r="Z2">
        <v>16</v>
      </c>
      <c r="AA2">
        <f>AA1+0.0084</f>
        <v>0.12390000000000001</v>
      </c>
    </row>
    <row r="3" spans="1:27" x14ac:dyDescent="0.3">
      <c r="A3" s="7" t="s">
        <v>2</v>
      </c>
      <c r="B3" s="19">
        <f>Sheet2!A9</f>
        <v>22</v>
      </c>
      <c r="D3">
        <v>2</v>
      </c>
      <c r="E3" s="5">
        <f>IF(D2&lt;=$B$3, D2, "")</f>
        <v>1</v>
      </c>
      <c r="F3" s="6">
        <f>B1</f>
        <v>3600</v>
      </c>
      <c r="G3" s="27">
        <f>Sheet2!F5</f>
        <v>0</v>
      </c>
      <c r="H3" s="6">
        <f>(F3+G3)*(1+$B$2)</f>
        <v>3671.9964000000004</v>
      </c>
      <c r="L3" s="9" t="e">
        <f>VLOOKUP(L2,M:N, 2)</f>
        <v>#REF!</v>
      </c>
      <c r="M3" s="9">
        <v>51</v>
      </c>
      <c r="N3" s="9">
        <v>3.39</v>
      </c>
      <c r="Q3">
        <v>18</v>
      </c>
      <c r="R3" s="15">
        <v>8.3999999999999995E-3</v>
      </c>
      <c r="V3">
        <v>2</v>
      </c>
      <c r="W3" s="15">
        <f>W2*$U$2</f>
        <v>1.0404</v>
      </c>
      <c r="X3" s="15">
        <f>W3+X2</f>
        <v>2.0604</v>
      </c>
      <c r="Z3">
        <v>17</v>
      </c>
      <c r="AA3">
        <f t="shared" ref="AA3:AA4" si="0">AA2+0.0084</f>
        <v>0.1323</v>
      </c>
    </row>
    <row r="4" spans="1:27" x14ac:dyDescent="0.3">
      <c r="A4" s="7" t="s">
        <v>4</v>
      </c>
      <c r="B4" s="13">
        <f>Sheet2!F9</f>
        <v>0.02</v>
      </c>
      <c r="D4">
        <v>3</v>
      </c>
      <c r="E4" s="5">
        <f t="shared" ref="E4:E42" si="1">IF(D3&lt;=$B$3, D3, "")</f>
        <v>2</v>
      </c>
      <c r="F4" s="6">
        <f>IF(E4 &lt;&gt; "",F3*(1+$B$4), "")</f>
        <v>3672</v>
      </c>
      <c r="G4" s="5"/>
      <c r="H4" s="6">
        <f>IF(E4 &lt;&gt; "", (H3+F4+G4)*(1+$B$2), "")</f>
        <v>7490.8689840036004</v>
      </c>
      <c r="M4" s="9">
        <v>52</v>
      </c>
      <c r="N4" s="9">
        <v>3.45</v>
      </c>
      <c r="Q4">
        <v>21</v>
      </c>
      <c r="R4" s="15">
        <v>8.9999999999999993E-3</v>
      </c>
      <c r="V4">
        <v>3</v>
      </c>
      <c r="W4" s="15">
        <f t="shared" ref="W4:W67" si="2">W3*$U$2</f>
        <v>1.0612079999999999</v>
      </c>
      <c r="X4" s="15">
        <f t="shared" ref="X4:X67" si="3">W4+X3</f>
        <v>3.1216080000000002</v>
      </c>
      <c r="Z4">
        <v>18</v>
      </c>
      <c r="AA4">
        <f t="shared" si="0"/>
        <v>0.14069999999999999</v>
      </c>
    </row>
    <row r="5" spans="1:27" x14ac:dyDescent="0.3">
      <c r="D5">
        <v>4</v>
      </c>
      <c r="E5" s="5">
        <f t="shared" si="1"/>
        <v>3</v>
      </c>
      <c r="F5" s="6">
        <f t="shared" ref="F5:F42" si="4">IF(E5 &lt;&gt; "",F4*(1+$B$4), "")</f>
        <v>3745.44</v>
      </c>
      <c r="G5" s="5"/>
      <c r="H5" s="6">
        <f t="shared" ref="H5:H42" si="5">IF(E5 &lt;&gt; "", (H4+F5+G5)*(1+$B$2), "")</f>
        <v>11461.02392737469</v>
      </c>
      <c r="M5" s="9">
        <v>53</v>
      </c>
      <c r="N5" s="9">
        <v>3.52</v>
      </c>
      <c r="Q5">
        <v>24</v>
      </c>
      <c r="R5" s="15">
        <v>9.5999999999999992E-3</v>
      </c>
      <c r="V5">
        <v>4</v>
      </c>
      <c r="W5" s="15">
        <f t="shared" si="2"/>
        <v>1.08243216</v>
      </c>
      <c r="X5" s="15">
        <f t="shared" si="3"/>
        <v>4.2040401599999999</v>
      </c>
      <c r="Z5">
        <v>19</v>
      </c>
      <c r="AA5">
        <f>AA4+0.009</f>
        <v>0.1497</v>
      </c>
    </row>
    <row r="6" spans="1:27" x14ac:dyDescent="0.3">
      <c r="A6" s="75" t="s">
        <v>11</v>
      </c>
      <c r="B6" s="75"/>
      <c r="D6">
        <v>5</v>
      </c>
      <c r="E6" s="5">
        <f t="shared" si="1"/>
        <v>4</v>
      </c>
      <c r="F6" s="6">
        <f t="shared" si="4"/>
        <v>3820.3488000000002</v>
      </c>
      <c r="G6" s="5"/>
      <c r="H6" s="6">
        <f t="shared" si="5"/>
        <v>15586.984900549458</v>
      </c>
      <c r="M6" s="9">
        <v>54</v>
      </c>
      <c r="N6" s="9">
        <v>3.59</v>
      </c>
      <c r="Q6">
        <v>27</v>
      </c>
      <c r="R6" s="15">
        <v>1.03E-2</v>
      </c>
      <c r="U6" t="s">
        <v>40</v>
      </c>
      <c r="V6">
        <v>5</v>
      </c>
      <c r="W6" s="15">
        <f t="shared" si="2"/>
        <v>1.1040808032</v>
      </c>
      <c r="X6" s="15">
        <f t="shared" si="3"/>
        <v>5.3081209632000004</v>
      </c>
      <c r="Z6">
        <v>20</v>
      </c>
      <c r="AA6">
        <f t="shared" ref="AA6:AA7" si="6">AA5+0.009</f>
        <v>0.15870000000000001</v>
      </c>
    </row>
    <row r="7" spans="1:27" x14ac:dyDescent="0.3">
      <c r="A7" s="73">
        <f>F43+G43</f>
        <v>98276.340739658379</v>
      </c>
      <c r="B7" s="73"/>
      <c r="D7">
        <v>6</v>
      </c>
      <c r="E7" s="5">
        <f t="shared" si="1"/>
        <v>5</v>
      </c>
      <c r="F7" s="6">
        <f t="shared" si="4"/>
        <v>3896.7557760000004</v>
      </c>
      <c r="G7" s="5"/>
      <c r="H7" s="6">
        <f t="shared" si="5"/>
        <v>19873.396006339775</v>
      </c>
      <c r="M7" s="9">
        <v>55</v>
      </c>
      <c r="N7" s="9">
        <v>3.67</v>
      </c>
      <c r="Q7">
        <v>30</v>
      </c>
      <c r="R7" s="15">
        <v>1.21E-2</v>
      </c>
      <c r="U7">
        <f>VLOOKUP(Sheet2!A9, Sheet1!V:X, 3, 1)</f>
        <v>27.844963209569883</v>
      </c>
      <c r="V7">
        <v>6</v>
      </c>
      <c r="W7" s="15">
        <f t="shared" si="2"/>
        <v>1.1261624192640001</v>
      </c>
      <c r="X7" s="15">
        <f t="shared" si="3"/>
        <v>6.4342833824640007</v>
      </c>
      <c r="Z7">
        <v>21</v>
      </c>
      <c r="AA7">
        <f t="shared" si="6"/>
        <v>0.16770000000000002</v>
      </c>
    </row>
    <row r="8" spans="1:27" x14ac:dyDescent="0.3">
      <c r="D8">
        <v>7</v>
      </c>
      <c r="E8" s="5">
        <f t="shared" si="1"/>
        <v>6</v>
      </c>
      <c r="F8" s="6">
        <f t="shared" si="4"/>
        <v>3974.6908915200006</v>
      </c>
      <c r="G8" s="5"/>
      <c r="H8" s="6">
        <f t="shared" si="5"/>
        <v>24325.024787730075</v>
      </c>
      <c r="M8" s="9">
        <v>56</v>
      </c>
      <c r="N8" s="9">
        <v>3.75</v>
      </c>
      <c r="Q8">
        <v>33</v>
      </c>
      <c r="R8" s="15">
        <v>1.4200000000000001E-2</v>
      </c>
      <c r="V8">
        <v>7</v>
      </c>
      <c r="W8" s="15">
        <f t="shared" si="2"/>
        <v>1.14868566764928</v>
      </c>
      <c r="X8" s="15">
        <f t="shared" si="3"/>
        <v>7.5829690501132809</v>
      </c>
      <c r="Z8">
        <v>22</v>
      </c>
      <c r="AA8">
        <f>AA7+0.0096</f>
        <v>0.17730000000000001</v>
      </c>
    </row>
    <row r="9" spans="1:27" x14ac:dyDescent="0.3">
      <c r="A9" s="75" t="s">
        <v>10</v>
      </c>
      <c r="B9" s="75"/>
      <c r="D9">
        <v>8</v>
      </c>
      <c r="E9" s="5">
        <f t="shared" si="1"/>
        <v>7</v>
      </c>
      <c r="F9" s="6">
        <f t="shared" si="4"/>
        <v>4054.1847093504007</v>
      </c>
      <c r="G9" s="5"/>
      <c r="H9" s="6">
        <f t="shared" si="5"/>
        <v>28946.765307812591</v>
      </c>
      <c r="M9" s="9">
        <v>57</v>
      </c>
      <c r="N9" s="9">
        <v>3.84</v>
      </c>
      <c r="Q9">
        <v>36</v>
      </c>
      <c r="R9" s="15">
        <v>1.5900000000000001E-2</v>
      </c>
      <c r="U9" t="s">
        <v>41</v>
      </c>
      <c r="V9">
        <v>8</v>
      </c>
      <c r="W9" s="15">
        <f t="shared" si="2"/>
        <v>1.1716593810022657</v>
      </c>
      <c r="X9" s="15">
        <f t="shared" si="3"/>
        <v>8.7546284311155471</v>
      </c>
      <c r="Z9">
        <v>23</v>
      </c>
      <c r="AA9">
        <f t="shared" ref="AA9:AA10" si="7">AA8+0.0096</f>
        <v>0.18690000000000001</v>
      </c>
    </row>
    <row r="10" spans="1:27" x14ac:dyDescent="0.3">
      <c r="A10" s="73">
        <f>IF(B3=0, "", VLOOKUP(B3,E:H,4))</f>
        <v>122440.20946601758</v>
      </c>
      <c r="B10" s="73"/>
      <c r="D10">
        <v>9</v>
      </c>
      <c r="E10" s="5">
        <f t="shared" si="1"/>
        <v>8</v>
      </c>
      <c r="F10" s="6">
        <f t="shared" si="4"/>
        <v>4135.2684035374086</v>
      </c>
      <c r="G10" s="5"/>
      <c r="H10" s="6">
        <f t="shared" si="5"/>
        <v>33743.641303543292</v>
      </c>
      <c r="M10" s="9">
        <v>58</v>
      </c>
      <c r="N10" s="9">
        <v>3.93</v>
      </c>
      <c r="Q10">
        <v>39</v>
      </c>
      <c r="R10" s="15">
        <v>1.7999999999999999E-2</v>
      </c>
      <c r="U10">
        <f>A20/Sheet1!U7</f>
        <v>4879.7162695945553</v>
      </c>
      <c r="V10">
        <v>9</v>
      </c>
      <c r="W10" s="15">
        <f t="shared" si="2"/>
        <v>1.1950925686223111</v>
      </c>
      <c r="X10" s="15">
        <f t="shared" si="3"/>
        <v>9.949720999737858</v>
      </c>
      <c r="Z10">
        <v>24</v>
      </c>
      <c r="AA10">
        <f t="shared" si="7"/>
        <v>0.19650000000000001</v>
      </c>
    </row>
    <row r="11" spans="1:27" x14ac:dyDescent="0.3">
      <c r="D11">
        <v>10</v>
      </c>
      <c r="E11" s="5">
        <f t="shared" si="1"/>
        <v>9</v>
      </c>
      <c r="F11" s="6">
        <f t="shared" si="4"/>
        <v>4217.9737716081572</v>
      </c>
      <c r="G11" s="5"/>
      <c r="H11" s="6">
        <f t="shared" si="5"/>
        <v>38720.80941503941</v>
      </c>
      <c r="M11" s="9">
        <v>59</v>
      </c>
      <c r="N11" s="9">
        <v>4.03</v>
      </c>
      <c r="Q11" t="s">
        <v>18</v>
      </c>
      <c r="R11" s="16">
        <v>0.02</v>
      </c>
      <c r="V11">
        <v>10</v>
      </c>
      <c r="W11" s="15">
        <f t="shared" si="2"/>
        <v>1.2189944199947573</v>
      </c>
      <c r="X11" s="15">
        <f t="shared" si="3"/>
        <v>11.168715419732616</v>
      </c>
      <c r="Z11">
        <v>25</v>
      </c>
      <c r="AA11">
        <f>AA10+0.0103</f>
        <v>0.20680000000000001</v>
      </c>
    </row>
    <row r="12" spans="1:27" x14ac:dyDescent="0.3">
      <c r="A12" s="12" t="s">
        <v>12</v>
      </c>
      <c r="B12" s="14" t="e">
        <f>Sheet2!#REF!</f>
        <v>#REF!</v>
      </c>
      <c r="D12">
        <v>11</v>
      </c>
      <c r="E12" s="5">
        <f t="shared" si="1"/>
        <v>10</v>
      </c>
      <c r="F12" s="6">
        <f t="shared" si="4"/>
        <v>4302.3332470403202</v>
      </c>
      <c r="G12" s="5"/>
      <c r="H12" s="6">
        <f t="shared" si="5"/>
        <v>43883.562492178666</v>
      </c>
      <c r="M12" s="9">
        <v>60</v>
      </c>
      <c r="N12" s="9">
        <v>4.13</v>
      </c>
      <c r="V12">
        <v>11</v>
      </c>
      <c r="W12" s="15">
        <f t="shared" si="2"/>
        <v>1.2433743083946525</v>
      </c>
      <c r="X12" s="15">
        <f t="shared" si="3"/>
        <v>12.412089728127269</v>
      </c>
      <c r="Z12">
        <v>26</v>
      </c>
      <c r="AA12">
        <f t="shared" ref="AA12:AA13" si="8">AA11+0.0103</f>
        <v>0.21710000000000002</v>
      </c>
    </row>
    <row r="13" spans="1:27" x14ac:dyDescent="0.3">
      <c r="A13" s="72" t="s">
        <v>16</v>
      </c>
      <c r="B13" s="72"/>
      <c r="D13">
        <v>12</v>
      </c>
      <c r="E13" s="5">
        <f t="shared" si="1"/>
        <v>11</v>
      </c>
      <c r="F13" s="6">
        <f t="shared" si="4"/>
        <v>4388.3799119811265</v>
      </c>
      <c r="G13" s="5"/>
      <c r="H13" s="6">
        <f t="shared" si="5"/>
        <v>49237.332980300591</v>
      </c>
      <c r="M13" s="9">
        <v>61</v>
      </c>
      <c r="N13" s="9">
        <v>4.24</v>
      </c>
      <c r="V13">
        <v>12</v>
      </c>
      <c r="W13" s="15">
        <f t="shared" si="2"/>
        <v>1.2682417945625455</v>
      </c>
      <c r="X13" s="15">
        <f t="shared" si="3"/>
        <v>13.680331522689814</v>
      </c>
      <c r="Z13">
        <v>27</v>
      </c>
      <c r="AA13">
        <f t="shared" si="8"/>
        <v>0.22740000000000002</v>
      </c>
    </row>
    <row r="14" spans="1:27" x14ac:dyDescent="0.3">
      <c r="A14" s="73" t="e">
        <f>A10*L3/1000</f>
        <v>#REF!</v>
      </c>
      <c r="B14" s="73"/>
      <c r="D14">
        <v>13</v>
      </c>
      <c r="E14" s="5">
        <f t="shared" si="1"/>
        <v>12</v>
      </c>
      <c r="F14" s="6">
        <f t="shared" si="4"/>
        <v>4476.1475102207487</v>
      </c>
      <c r="G14" s="5"/>
      <c r="H14" s="6">
        <f t="shared" si="5"/>
        <v>54787.696386851283</v>
      </c>
      <c r="M14" s="9">
        <v>62</v>
      </c>
      <c r="N14" s="9">
        <v>4.3499999999999996</v>
      </c>
      <c r="O14" s="17">
        <f>A10</f>
        <v>122440.20946601758</v>
      </c>
      <c r="V14">
        <v>13</v>
      </c>
      <c r="W14" s="15">
        <f t="shared" si="2"/>
        <v>1.2936066304537963</v>
      </c>
      <c r="X14" s="15">
        <f t="shared" si="3"/>
        <v>14.97393815314361</v>
      </c>
      <c r="Z14">
        <v>28</v>
      </c>
      <c r="AA14">
        <f>AA13+0.0121</f>
        <v>0.23950000000000002</v>
      </c>
    </row>
    <row r="15" spans="1:27" x14ac:dyDescent="0.3">
      <c r="D15">
        <v>14</v>
      </c>
      <c r="E15" s="5">
        <f t="shared" si="1"/>
        <v>13</v>
      </c>
      <c r="F15" s="6">
        <f t="shared" si="4"/>
        <v>4565.6704604251636</v>
      </c>
      <c r="G15" s="5"/>
      <c r="H15" s="6">
        <f t="shared" si="5"/>
        <v>60540.374830855137</v>
      </c>
      <c r="J15">
        <f>B1/12</f>
        <v>300</v>
      </c>
      <c r="M15" s="9">
        <v>63</v>
      </c>
      <c r="N15" s="9">
        <v>4.4800000000000004</v>
      </c>
      <c r="V15">
        <v>14</v>
      </c>
      <c r="W15" s="15">
        <f t="shared" si="2"/>
        <v>1.3194787630628724</v>
      </c>
      <c r="X15" s="15">
        <f t="shared" si="3"/>
        <v>16.293416916206482</v>
      </c>
      <c r="Z15">
        <v>29</v>
      </c>
      <c r="AA15">
        <f t="shared" ref="AA15:AA16" si="9">AA14+0.0121</f>
        <v>0.25160000000000005</v>
      </c>
    </row>
    <row r="16" spans="1:27" x14ac:dyDescent="0.3">
      <c r="D16">
        <v>15</v>
      </c>
      <c r="E16" s="5">
        <f t="shared" si="1"/>
        <v>14</v>
      </c>
      <c r="F16" s="6">
        <f t="shared" si="4"/>
        <v>4656.9838696336674</v>
      </c>
      <c r="G16" s="5"/>
      <c r="H16" s="6">
        <f t="shared" si="5"/>
        <v>66501.240677139882</v>
      </c>
      <c r="M16" s="9">
        <v>64</v>
      </c>
      <c r="N16" s="9">
        <v>4.6100000000000003</v>
      </c>
      <c r="V16">
        <v>15</v>
      </c>
      <c r="W16" s="15">
        <f t="shared" si="2"/>
        <v>1.3458683383241299</v>
      </c>
      <c r="X16" s="15">
        <f t="shared" si="3"/>
        <v>17.639285254530613</v>
      </c>
      <c r="Z16">
        <v>30</v>
      </c>
      <c r="AA16">
        <f t="shared" si="9"/>
        <v>0.26370000000000005</v>
      </c>
    </row>
    <row r="17" spans="1:27" x14ac:dyDescent="0.3">
      <c r="A17" s="70" t="s">
        <v>33</v>
      </c>
      <c r="B17" s="70"/>
      <c r="D17">
        <v>16</v>
      </c>
      <c r="E17" s="5">
        <f t="shared" si="1"/>
        <v>15</v>
      </c>
      <c r="F17" s="6">
        <f t="shared" si="4"/>
        <v>4750.1235470263409</v>
      </c>
      <c r="G17" s="5"/>
      <c r="H17" s="6">
        <f t="shared" si="5"/>
        <v>72676.320257285319</v>
      </c>
      <c r="M17" s="9">
        <v>65</v>
      </c>
      <c r="N17" s="9">
        <v>4.75</v>
      </c>
      <c r="O17" s="9">
        <v>0</v>
      </c>
      <c r="P17" s="11" t="e">
        <f>#REF!</f>
        <v>#REF!</v>
      </c>
      <c r="V17">
        <v>16</v>
      </c>
      <c r="W17" s="15">
        <f t="shared" si="2"/>
        <v>1.3727857050906125</v>
      </c>
      <c r="X17" s="15">
        <f t="shared" si="3"/>
        <v>19.012070959621227</v>
      </c>
      <c r="Z17">
        <v>31</v>
      </c>
      <c r="AA17">
        <f>AA16+0.0142</f>
        <v>0.27790000000000004</v>
      </c>
    </row>
    <row r="18" spans="1:27" x14ac:dyDescent="0.3">
      <c r="A18" s="74">
        <f>Sheet2!D3-Sheet2!A17</f>
        <v>343.12</v>
      </c>
      <c r="B18" s="74"/>
      <c r="D18">
        <v>17</v>
      </c>
      <c r="E18" s="5">
        <f t="shared" si="1"/>
        <v>16</v>
      </c>
      <c r="F18" s="6">
        <f t="shared" si="4"/>
        <v>4845.1260179668679</v>
      </c>
      <c r="G18" s="5"/>
      <c r="H18" s="6">
        <f t="shared" si="5"/>
        <v>79071.797679310956</v>
      </c>
      <c r="M18" s="9">
        <v>66</v>
      </c>
      <c r="N18" s="9">
        <v>4.9000000000000004</v>
      </c>
      <c r="O18" s="9">
        <v>1</v>
      </c>
      <c r="P18" s="9" t="e">
        <f>IF(O18 &lt;=#REF!, P17*1.05+$B$5, 0)</f>
        <v>#REF!</v>
      </c>
      <c r="V18">
        <v>17</v>
      </c>
      <c r="W18" s="15">
        <f t="shared" si="2"/>
        <v>1.4002414191924248</v>
      </c>
      <c r="X18" s="15">
        <f t="shared" si="3"/>
        <v>20.412312378813652</v>
      </c>
      <c r="Z18">
        <v>32</v>
      </c>
      <c r="AA18">
        <f t="shared" ref="AA18:AA19" si="10">AA17+0.0142</f>
        <v>0.29210000000000003</v>
      </c>
    </row>
    <row r="19" spans="1:27" x14ac:dyDescent="0.3">
      <c r="A19" s="70" t="s">
        <v>17</v>
      </c>
      <c r="B19" s="70"/>
      <c r="D19">
        <v>18</v>
      </c>
      <c r="E19" s="5">
        <f t="shared" si="1"/>
        <v>17</v>
      </c>
      <c r="F19" s="6">
        <f t="shared" si="4"/>
        <v>4942.0285383262053</v>
      </c>
      <c r="G19" s="5"/>
      <c r="H19" s="6">
        <f t="shared" si="5"/>
        <v>85694.018728163705</v>
      </c>
      <c r="M19" s="9">
        <v>67</v>
      </c>
      <c r="N19" s="9">
        <v>5.0599999999999996</v>
      </c>
      <c r="O19" s="9">
        <v>2</v>
      </c>
      <c r="P19" s="9" t="e">
        <f>IF(O19 &lt;=#REF!, P18*1.05+$B$5, 0)</f>
        <v>#REF!</v>
      </c>
      <c r="V19">
        <v>18</v>
      </c>
      <c r="W19" s="15">
        <f t="shared" si="2"/>
        <v>1.4282462475762734</v>
      </c>
      <c r="X19" s="15">
        <f t="shared" si="3"/>
        <v>21.840558626389925</v>
      </c>
      <c r="Z19">
        <v>33</v>
      </c>
      <c r="AA19">
        <f t="shared" si="10"/>
        <v>0.30630000000000002</v>
      </c>
    </row>
    <row r="20" spans="1:27" x14ac:dyDescent="0.3">
      <c r="A20" s="71">
        <f>Sheet2!D11 - Sheet2!F5*((1+Sheet2!F7)^Sheet2!A9)</f>
        <v>135875.51999999999</v>
      </c>
      <c r="B20" s="71"/>
      <c r="D20">
        <v>19</v>
      </c>
      <c r="E20" s="5">
        <f t="shared" si="1"/>
        <v>18</v>
      </c>
      <c r="F20" s="6">
        <f t="shared" si="4"/>
        <v>5040.8691090927296</v>
      </c>
      <c r="G20" s="5"/>
      <c r="H20" s="6">
        <f t="shared" si="5"/>
        <v>92549.494859113736</v>
      </c>
      <c r="M20" s="9">
        <v>68</v>
      </c>
      <c r="N20" s="9">
        <v>5.23</v>
      </c>
      <c r="O20" s="9">
        <v>3</v>
      </c>
      <c r="P20" s="9" t="e">
        <f>IF(O20 &lt;=#REF!, P19*1.05+$B$5, 0)</f>
        <v>#REF!</v>
      </c>
      <c r="R20" s="9">
        <v>586</v>
      </c>
      <c r="V20">
        <v>19</v>
      </c>
      <c r="W20" s="15">
        <f t="shared" si="2"/>
        <v>1.4568111725277988</v>
      </c>
      <c r="X20" s="15">
        <f t="shared" si="3"/>
        <v>23.297369798917725</v>
      </c>
      <c r="Z20">
        <v>34</v>
      </c>
      <c r="AA20">
        <f>AA19+0.0159</f>
        <v>0.32220000000000004</v>
      </c>
    </row>
    <row r="21" spans="1:27" x14ac:dyDescent="0.3">
      <c r="D21">
        <v>20</v>
      </c>
      <c r="E21" s="5">
        <f t="shared" si="1"/>
        <v>19</v>
      </c>
      <c r="F21" s="6">
        <f t="shared" si="4"/>
        <v>5141.6864912745841</v>
      </c>
      <c r="G21" s="5"/>
      <c r="H21" s="6">
        <f t="shared" si="5"/>
        <v>99644.907286214744</v>
      </c>
      <c r="M21" s="9">
        <v>69</v>
      </c>
      <c r="N21" s="9">
        <v>5.41</v>
      </c>
      <c r="O21" s="9">
        <v>4</v>
      </c>
      <c r="P21" s="9" t="e">
        <f>IF(O21 &lt;=#REF!, P20*1.05+$B$5, 0)</f>
        <v>#REF!</v>
      </c>
      <c r="R21">
        <f>R20*0.27</f>
        <v>158.22</v>
      </c>
      <c r="V21">
        <v>20</v>
      </c>
      <c r="W21" s="15">
        <f t="shared" si="2"/>
        <v>1.4859473959783549</v>
      </c>
      <c r="X21" s="15">
        <f t="shared" si="3"/>
        <v>24.783317194896078</v>
      </c>
      <c r="Z21">
        <v>35</v>
      </c>
      <c r="AA21">
        <f t="shared" ref="AA21:AA22" si="11">AA20+0.0159</f>
        <v>0.33810000000000007</v>
      </c>
    </row>
    <row r="22" spans="1:27" x14ac:dyDescent="0.3">
      <c r="D22">
        <v>21</v>
      </c>
      <c r="E22" s="5">
        <f t="shared" si="1"/>
        <v>20</v>
      </c>
      <c r="F22" s="6">
        <f t="shared" si="4"/>
        <v>5244.520221100076</v>
      </c>
      <c r="G22" s="5"/>
      <c r="H22" s="6">
        <f t="shared" si="5"/>
        <v>106987.11116803362</v>
      </c>
      <c r="M22" s="9">
        <v>70</v>
      </c>
      <c r="N22" s="9">
        <v>5.61</v>
      </c>
      <c r="O22" s="9">
        <v>5</v>
      </c>
      <c r="P22" s="9" t="e">
        <f>IF(O22 &lt;=#REF!, P21*1.05+$B$5, 0)</f>
        <v>#REF!</v>
      </c>
      <c r="V22">
        <v>21</v>
      </c>
      <c r="W22" s="15">
        <f t="shared" si="2"/>
        <v>1.5156663438979221</v>
      </c>
      <c r="X22" s="15">
        <f t="shared" si="3"/>
        <v>26.298983538794001</v>
      </c>
      <c r="Z22">
        <v>36</v>
      </c>
      <c r="AA22">
        <f t="shared" si="11"/>
        <v>0.35400000000000009</v>
      </c>
    </row>
    <row r="23" spans="1:27" x14ac:dyDescent="0.3">
      <c r="A23" t="s">
        <v>19</v>
      </c>
      <c r="D23">
        <v>22</v>
      </c>
      <c r="E23" s="5">
        <f t="shared" si="1"/>
        <v>21</v>
      </c>
      <c r="F23" s="6">
        <f t="shared" si="4"/>
        <v>5349.4106255220777</v>
      </c>
      <c r="G23" s="5"/>
      <c r="H23" s="6">
        <f t="shared" si="5"/>
        <v>114583.13989290503</v>
      </c>
      <c r="M23" s="9">
        <v>71</v>
      </c>
      <c r="N23" s="9">
        <v>5.82</v>
      </c>
      <c r="O23" s="9">
        <v>6</v>
      </c>
      <c r="P23" s="9" t="e">
        <f>IF(O23 &lt;=#REF!, P22*1.05+$B$5, 0)</f>
        <v>#REF!</v>
      </c>
      <c r="V23">
        <v>22</v>
      </c>
      <c r="W23" s="15">
        <f t="shared" si="2"/>
        <v>1.5459796707758806</v>
      </c>
      <c r="X23" s="15">
        <f t="shared" si="3"/>
        <v>27.844963209569883</v>
      </c>
      <c r="Z23">
        <v>37</v>
      </c>
      <c r="AA23">
        <f>AA22+0.018</f>
        <v>0.37200000000000011</v>
      </c>
    </row>
    <row r="24" spans="1:27" x14ac:dyDescent="0.3">
      <c r="A24" t="s">
        <v>34</v>
      </c>
      <c r="B24">
        <f>Sheet2!A5</f>
        <v>1200</v>
      </c>
      <c r="D24">
        <v>23</v>
      </c>
      <c r="E24" s="5">
        <f t="shared" si="1"/>
        <v>22</v>
      </c>
      <c r="F24" s="6">
        <f t="shared" si="4"/>
        <v>5456.3988380325191</v>
      </c>
      <c r="G24" s="5"/>
      <c r="H24" s="6">
        <f t="shared" si="5"/>
        <v>122440.20946601758</v>
      </c>
      <c r="J24" t="s">
        <v>42</v>
      </c>
      <c r="K24" s="26">
        <f>1+K26</f>
        <v>1.0199990000000001</v>
      </c>
      <c r="M24" s="9">
        <v>72</v>
      </c>
      <c r="N24" s="9">
        <v>6.04</v>
      </c>
      <c r="O24" s="9">
        <v>7</v>
      </c>
      <c r="P24" s="9" t="e">
        <f>IF(O24 &lt;=#REF!, P23*1.05+$B$5, 0)</f>
        <v>#REF!</v>
      </c>
      <c r="V24">
        <v>23</v>
      </c>
      <c r="W24" s="15">
        <f t="shared" si="2"/>
        <v>1.5768992641913981</v>
      </c>
      <c r="X24" s="15">
        <f t="shared" si="3"/>
        <v>29.42186247376128</v>
      </c>
      <c r="Z24">
        <v>38</v>
      </c>
      <c r="AA24">
        <f t="shared" ref="AA24:AA25" si="12">AA23+0.018</f>
        <v>0.39000000000000012</v>
      </c>
    </row>
    <row r="25" spans="1:27" x14ac:dyDescent="0.3">
      <c r="A25" t="s">
        <v>25</v>
      </c>
      <c r="B25">
        <f>Sheet2!A7+Sheet2!A9</f>
        <v>27</v>
      </c>
      <c r="D25">
        <v>24</v>
      </c>
      <c r="E25" s="5" t="str">
        <f t="shared" si="1"/>
        <v/>
      </c>
      <c r="F25" s="6" t="str">
        <f t="shared" si="4"/>
        <v/>
      </c>
      <c r="G25" s="5"/>
      <c r="H25" s="6" t="str">
        <f t="shared" si="5"/>
        <v/>
      </c>
      <c r="J25" t="s">
        <v>43</v>
      </c>
      <c r="K25" s="15">
        <f>B4</f>
        <v>0.02</v>
      </c>
      <c r="M25" s="9">
        <v>73</v>
      </c>
      <c r="N25" s="9">
        <v>6.28</v>
      </c>
      <c r="O25" s="9">
        <v>8</v>
      </c>
      <c r="P25" s="9" t="e">
        <f>IF(O25 &lt;=#REF!, P24*1.05+$B$5, 0)</f>
        <v>#REF!</v>
      </c>
      <c r="V25">
        <v>24</v>
      </c>
      <c r="W25" s="15">
        <f t="shared" si="2"/>
        <v>1.6084372494752261</v>
      </c>
      <c r="X25" s="15">
        <f t="shared" si="3"/>
        <v>31.030299723236507</v>
      </c>
      <c r="Z25">
        <v>39</v>
      </c>
      <c r="AA25">
        <f t="shared" si="12"/>
        <v>0.40800000000000014</v>
      </c>
    </row>
    <row r="26" spans="1:27" x14ac:dyDescent="0.3">
      <c r="A26" t="s">
        <v>20</v>
      </c>
      <c r="B26" s="15">
        <f>VLOOKUP(B25, Z1:AA38, 2, 1)</f>
        <v>0.22740000000000002</v>
      </c>
      <c r="D26">
        <v>25</v>
      </c>
      <c r="E26" s="5" t="str">
        <f t="shared" si="1"/>
        <v/>
      </c>
      <c r="F26" s="6" t="str">
        <f t="shared" si="4"/>
        <v/>
      </c>
      <c r="G26" s="5"/>
      <c r="H26" s="6" t="str">
        <f t="shared" si="5"/>
        <v/>
      </c>
      <c r="J26" t="s">
        <v>44</v>
      </c>
      <c r="K26" s="15">
        <f>B2</f>
        <v>1.9998999999999999E-2</v>
      </c>
      <c r="M26" s="9">
        <v>74</v>
      </c>
      <c r="N26" s="9">
        <v>6.54</v>
      </c>
      <c r="O26" s="9">
        <v>9</v>
      </c>
      <c r="P26" s="9" t="e">
        <f>IF(O26 &lt;=#REF!, P25*1.05+$B$5, 0)</f>
        <v>#REF!</v>
      </c>
      <c r="V26">
        <v>25</v>
      </c>
      <c r="W26" s="15">
        <f t="shared" si="2"/>
        <v>1.6406059944647307</v>
      </c>
      <c r="X26" s="15">
        <f t="shared" si="3"/>
        <v>32.670905717701238</v>
      </c>
      <c r="Z26">
        <v>40</v>
      </c>
      <c r="AA26">
        <f>AA25+0.02</f>
        <v>0.42800000000000016</v>
      </c>
    </row>
    <row r="27" spans="1:27" x14ac:dyDescent="0.3">
      <c r="A27" t="s">
        <v>21</v>
      </c>
      <c r="B27">
        <f>IF(B24 &gt; 5860, 5860 * B26, B26*B24)</f>
        <v>272.88</v>
      </c>
      <c r="D27">
        <v>26</v>
      </c>
      <c r="E27" s="5" t="str">
        <f t="shared" si="1"/>
        <v/>
      </c>
      <c r="F27" s="6" t="str">
        <f t="shared" si="4"/>
        <v/>
      </c>
      <c r="G27" s="5"/>
      <c r="H27" s="6" t="str">
        <f t="shared" si="5"/>
        <v/>
      </c>
      <c r="J27" t="s">
        <v>45</v>
      </c>
      <c r="K27" s="26">
        <f>B3</f>
        <v>22</v>
      </c>
      <c r="M27" s="9">
        <v>75</v>
      </c>
      <c r="N27" s="9">
        <v>6.82</v>
      </c>
      <c r="O27" s="9">
        <v>10</v>
      </c>
      <c r="P27" s="9" t="e">
        <f>IF(O27 &lt;=#REF!, P26*1.05+$B$5, 0)</f>
        <v>#REF!</v>
      </c>
      <c r="V27">
        <v>26</v>
      </c>
      <c r="W27" s="15">
        <f t="shared" si="2"/>
        <v>1.6734181143540252</v>
      </c>
      <c r="X27" s="15">
        <f t="shared" si="3"/>
        <v>34.344323832055267</v>
      </c>
      <c r="Z27">
        <v>41</v>
      </c>
      <c r="AA27">
        <f t="shared" ref="AA27:AA38" si="13">AA26+0.02</f>
        <v>0.44800000000000018</v>
      </c>
    </row>
    <row r="28" spans="1:27" x14ac:dyDescent="0.3">
      <c r="A28" t="s">
        <v>22</v>
      </c>
      <c r="B28">
        <f>IF(B25&gt;=20,384,IF(B25 &lt; 15, 345.6, 384-(20-B25)*0.02*384))</f>
        <v>384</v>
      </c>
      <c r="D28">
        <v>27</v>
      </c>
      <c r="E28" s="5" t="str">
        <f t="shared" si="1"/>
        <v/>
      </c>
      <c r="F28" s="6" t="str">
        <f t="shared" si="4"/>
        <v/>
      </c>
      <c r="G28" s="5"/>
      <c r="H28" s="6" t="str">
        <f t="shared" si="5"/>
        <v/>
      </c>
      <c r="J28" t="s">
        <v>46</v>
      </c>
      <c r="K28" s="15">
        <f>1+K25</f>
        <v>1.02</v>
      </c>
      <c r="M28" s="9">
        <v>76</v>
      </c>
      <c r="N28" s="9">
        <v>7.12</v>
      </c>
      <c r="O28" s="9">
        <v>11</v>
      </c>
      <c r="P28" s="9" t="e">
        <f>IF(O28 &lt;=#REF!, P27*1.05+$B$5, 0)</f>
        <v>#REF!</v>
      </c>
      <c r="V28">
        <v>27</v>
      </c>
      <c r="W28" s="15">
        <f t="shared" si="2"/>
        <v>1.7068864766411058</v>
      </c>
      <c r="X28" s="15">
        <f t="shared" si="3"/>
        <v>36.051210308696369</v>
      </c>
      <c r="Z28">
        <v>42</v>
      </c>
      <c r="AA28">
        <f t="shared" si="13"/>
        <v>0.46800000000000019</v>
      </c>
    </row>
    <row r="29" spans="1:27" x14ac:dyDescent="0.3">
      <c r="A29" t="s">
        <v>35</v>
      </c>
      <c r="B29">
        <f>IF(B28+B27 &gt; 2000, 2000, B28+B27)</f>
        <v>656.88</v>
      </c>
      <c r="D29">
        <v>28</v>
      </c>
      <c r="E29" s="5" t="str">
        <f t="shared" si="1"/>
        <v/>
      </c>
      <c r="F29" s="6" t="str">
        <f t="shared" si="4"/>
        <v/>
      </c>
      <c r="G29" s="5"/>
      <c r="H29" s="6" t="str">
        <f t="shared" si="5"/>
        <v/>
      </c>
      <c r="M29" s="9">
        <v>77</v>
      </c>
      <c r="N29" s="9">
        <v>7.44</v>
      </c>
      <c r="O29" s="9">
        <v>12</v>
      </c>
      <c r="P29" s="9" t="e">
        <f>IF(O29 &lt;=#REF!, P28*1.05+$B$5, 0)</f>
        <v>#REF!</v>
      </c>
      <c r="V29">
        <v>28</v>
      </c>
      <c r="W29" s="15">
        <f t="shared" si="2"/>
        <v>1.7410242061739281</v>
      </c>
      <c r="X29" s="15">
        <f t="shared" si="3"/>
        <v>37.792234514870295</v>
      </c>
      <c r="Z29">
        <v>43</v>
      </c>
      <c r="AA29">
        <f t="shared" si="13"/>
        <v>0.48800000000000021</v>
      </c>
    </row>
    <row r="30" spans="1:27" x14ac:dyDescent="0.3">
      <c r="D30">
        <v>29</v>
      </c>
      <c r="E30" s="5" t="str">
        <f t="shared" si="1"/>
        <v/>
      </c>
      <c r="F30" s="6" t="str">
        <f t="shared" si="4"/>
        <v/>
      </c>
      <c r="G30" s="5"/>
      <c r="H30" s="6" t="str">
        <f t="shared" si="5"/>
        <v/>
      </c>
      <c r="M30" s="9">
        <v>78</v>
      </c>
      <c r="N30" s="9">
        <v>7.79</v>
      </c>
      <c r="O30" s="9">
        <v>13</v>
      </c>
      <c r="P30" s="9" t="e">
        <f>IF(O30 &lt;=#REF!, P29*1.05+$B$5, 0)</f>
        <v>#REF!</v>
      </c>
      <c r="V30">
        <v>29</v>
      </c>
      <c r="W30" s="15">
        <f t="shared" si="2"/>
        <v>1.7758446902974065</v>
      </c>
      <c r="X30" s="15">
        <f t="shared" si="3"/>
        <v>39.568079205167699</v>
      </c>
      <c r="Z30">
        <v>44</v>
      </c>
      <c r="AA30">
        <f t="shared" si="13"/>
        <v>0.50800000000000023</v>
      </c>
    </row>
    <row r="31" spans="1:27" x14ac:dyDescent="0.3">
      <c r="D31">
        <v>30</v>
      </c>
      <c r="E31" s="5" t="str">
        <f t="shared" si="1"/>
        <v/>
      </c>
      <c r="F31" s="6" t="str">
        <f t="shared" si="4"/>
        <v/>
      </c>
      <c r="G31" s="5"/>
      <c r="H31" s="6" t="str">
        <f t="shared" si="5"/>
        <v/>
      </c>
      <c r="J31" t="s">
        <v>47</v>
      </c>
      <c r="K31">
        <f>(A20*(K24/K28-1)/(K24*(K28^(K27-1))*((K24/K28)^K27-1)))</f>
        <v>3995.0264224883895</v>
      </c>
      <c r="M31" s="9">
        <v>79</v>
      </c>
      <c r="N31" s="9">
        <v>8.16</v>
      </c>
      <c r="O31" s="9">
        <v>14</v>
      </c>
      <c r="P31" s="9" t="e">
        <f>IF(O31 &lt;=#REF!, P30*1.05+$B$5, 0)</f>
        <v>#REF!</v>
      </c>
      <c r="V31">
        <v>30</v>
      </c>
      <c r="W31" s="15">
        <f t="shared" si="2"/>
        <v>1.8113615841033548</v>
      </c>
      <c r="X31" s="15">
        <f t="shared" si="3"/>
        <v>41.379440789271051</v>
      </c>
      <c r="Z31">
        <v>45</v>
      </c>
      <c r="AA31">
        <f t="shared" si="13"/>
        <v>0.52800000000000025</v>
      </c>
    </row>
    <row r="32" spans="1:27" x14ac:dyDescent="0.3">
      <c r="A32" t="s">
        <v>23</v>
      </c>
      <c r="B32" t="s">
        <v>24</v>
      </c>
      <c r="D32">
        <v>31</v>
      </c>
      <c r="E32" s="5" t="str">
        <f t="shared" si="1"/>
        <v/>
      </c>
      <c r="F32" s="6" t="str">
        <f t="shared" si="4"/>
        <v/>
      </c>
      <c r="G32" s="5"/>
      <c r="H32" s="6" t="str">
        <f t="shared" si="5"/>
        <v/>
      </c>
      <c r="M32" s="9">
        <v>80</v>
      </c>
      <c r="N32" s="9">
        <v>8.57</v>
      </c>
      <c r="O32" s="9">
        <v>15</v>
      </c>
      <c r="P32" s="9" t="e">
        <f>IF(O32 &lt;=#REF!, P31*1.05+$B$5, 0)</f>
        <v>#REF!</v>
      </c>
      <c r="V32">
        <v>31</v>
      </c>
      <c r="W32" s="15">
        <f t="shared" si="2"/>
        <v>1.8475888157854219</v>
      </c>
      <c r="X32" s="15">
        <f t="shared" si="3"/>
        <v>43.227029605056472</v>
      </c>
      <c r="Z32">
        <v>46</v>
      </c>
      <c r="AA32">
        <f t="shared" si="13"/>
        <v>0.54800000000000026</v>
      </c>
    </row>
    <row r="33" spans="4:27" x14ac:dyDescent="0.3">
      <c r="D33">
        <v>32</v>
      </c>
      <c r="E33" s="5" t="str">
        <f t="shared" si="1"/>
        <v/>
      </c>
      <c r="F33" s="6" t="str">
        <f t="shared" si="4"/>
        <v/>
      </c>
      <c r="G33" s="5"/>
      <c r="H33" s="6" t="str">
        <f t="shared" si="5"/>
        <v/>
      </c>
      <c r="M33" s="9">
        <v>81</v>
      </c>
      <c r="N33" s="9">
        <v>9</v>
      </c>
      <c r="O33" s="9">
        <v>16</v>
      </c>
      <c r="P33" s="9" t="e">
        <f>IF(O33 &lt;=#REF!, P32*1.05+$B$5, 0)</f>
        <v>#REF!</v>
      </c>
      <c r="V33">
        <v>32</v>
      </c>
      <c r="W33" s="15">
        <f t="shared" si="2"/>
        <v>1.8845405921011305</v>
      </c>
      <c r="X33" s="15">
        <f t="shared" si="3"/>
        <v>45.111570197157604</v>
      </c>
      <c r="Z33">
        <v>47</v>
      </c>
      <c r="AA33">
        <f t="shared" si="13"/>
        <v>0.56800000000000028</v>
      </c>
    </row>
    <row r="34" spans="4:27" x14ac:dyDescent="0.3">
      <c r="D34">
        <v>33</v>
      </c>
      <c r="E34" s="5" t="str">
        <f t="shared" si="1"/>
        <v/>
      </c>
      <c r="F34" s="6" t="str">
        <f t="shared" si="4"/>
        <v/>
      </c>
      <c r="G34" s="5"/>
      <c r="H34" s="6" t="str">
        <f t="shared" si="5"/>
        <v/>
      </c>
      <c r="M34" s="9">
        <v>82</v>
      </c>
      <c r="N34" s="9">
        <v>9.4700000000000006</v>
      </c>
      <c r="O34" s="9">
        <v>17</v>
      </c>
      <c r="P34" s="9" t="e">
        <f>IF(O34 &lt;=#REF!, P33*1.05+$B$5, 0)</f>
        <v>#REF!</v>
      </c>
      <c r="V34">
        <v>33</v>
      </c>
      <c r="W34" s="15">
        <f t="shared" si="2"/>
        <v>1.9222314039431532</v>
      </c>
      <c r="X34" s="15">
        <f t="shared" si="3"/>
        <v>47.033801601100755</v>
      </c>
      <c r="Z34">
        <v>48</v>
      </c>
      <c r="AA34">
        <f t="shared" si="13"/>
        <v>0.5880000000000003</v>
      </c>
    </row>
    <row r="35" spans="4:27" x14ac:dyDescent="0.3">
      <c r="D35">
        <v>34</v>
      </c>
      <c r="E35" s="5" t="str">
        <f t="shared" si="1"/>
        <v/>
      </c>
      <c r="F35" s="6" t="str">
        <f t="shared" si="4"/>
        <v/>
      </c>
      <c r="G35" s="5"/>
      <c r="H35" s="6" t="str">
        <f t="shared" si="5"/>
        <v/>
      </c>
      <c r="M35" s="9">
        <v>83</v>
      </c>
      <c r="N35" s="9">
        <v>9.9700000000000006</v>
      </c>
      <c r="O35" s="9">
        <v>18</v>
      </c>
      <c r="P35" s="9" t="e">
        <f>IF(O35 &lt;=#REF!, P34*1.05+$B$5, 0)</f>
        <v>#REF!</v>
      </c>
      <c r="V35">
        <v>34</v>
      </c>
      <c r="W35" s="15">
        <f t="shared" si="2"/>
        <v>1.9606760320220162</v>
      </c>
      <c r="X35" s="15">
        <f t="shared" si="3"/>
        <v>48.99447763312277</v>
      </c>
      <c r="Z35">
        <v>49</v>
      </c>
      <c r="AA35">
        <f t="shared" si="13"/>
        <v>0.60800000000000032</v>
      </c>
    </row>
    <row r="36" spans="4:27" x14ac:dyDescent="0.3">
      <c r="D36">
        <v>35</v>
      </c>
      <c r="E36" s="5" t="str">
        <f t="shared" si="1"/>
        <v/>
      </c>
      <c r="F36" s="6" t="str">
        <f t="shared" si="4"/>
        <v/>
      </c>
      <c r="G36" s="5"/>
      <c r="H36" s="6" t="str">
        <f t="shared" si="5"/>
        <v/>
      </c>
      <c r="M36" s="9">
        <v>84</v>
      </c>
      <c r="N36" s="9">
        <v>10.5</v>
      </c>
      <c r="O36" s="9">
        <v>19</v>
      </c>
      <c r="P36" s="9" t="e">
        <f>IF(O36 &lt;=#REF!, P35*1.05+$B$5, 0)</f>
        <v>#REF!</v>
      </c>
      <c r="V36">
        <v>35</v>
      </c>
      <c r="W36" s="15">
        <f t="shared" si="2"/>
        <v>1.9998895526624565</v>
      </c>
      <c r="X36" s="15">
        <f t="shared" si="3"/>
        <v>50.994367185785229</v>
      </c>
      <c r="Z36">
        <v>50</v>
      </c>
      <c r="AA36">
        <f t="shared" si="13"/>
        <v>0.62800000000000034</v>
      </c>
    </row>
    <row r="37" spans="4:27" x14ac:dyDescent="0.3">
      <c r="D37">
        <v>36</v>
      </c>
      <c r="E37" s="5" t="str">
        <f t="shared" si="1"/>
        <v/>
      </c>
      <c r="F37" s="6" t="str">
        <f t="shared" si="4"/>
        <v/>
      </c>
      <c r="G37" s="5"/>
      <c r="H37" s="6" t="str">
        <f t="shared" si="5"/>
        <v/>
      </c>
      <c r="M37" s="9">
        <v>85</v>
      </c>
      <c r="N37" s="9">
        <v>11.08</v>
      </c>
      <c r="O37" s="9">
        <v>20</v>
      </c>
      <c r="P37" s="9" t="e">
        <f>IF(O37 &lt;=#REF!, P36*1.05+$B$5, 0)</f>
        <v>#REF!</v>
      </c>
      <c r="V37">
        <v>36</v>
      </c>
      <c r="W37" s="15">
        <f t="shared" si="2"/>
        <v>2.0398873437157055</v>
      </c>
      <c r="X37" s="15">
        <f t="shared" si="3"/>
        <v>53.034254529500934</v>
      </c>
      <c r="Z37">
        <v>51</v>
      </c>
      <c r="AA37">
        <f t="shared" si="13"/>
        <v>0.64800000000000035</v>
      </c>
    </row>
    <row r="38" spans="4:27" x14ac:dyDescent="0.3">
      <c r="D38">
        <v>37</v>
      </c>
      <c r="E38" s="5" t="str">
        <f t="shared" si="1"/>
        <v/>
      </c>
      <c r="F38" s="6" t="str">
        <f t="shared" si="4"/>
        <v/>
      </c>
      <c r="G38" s="5"/>
      <c r="H38" s="6" t="str">
        <f t="shared" si="5"/>
        <v/>
      </c>
      <c r="M38" s="9">
        <v>86</v>
      </c>
      <c r="N38" s="9">
        <v>11.7</v>
      </c>
      <c r="V38">
        <v>37</v>
      </c>
      <c r="W38" s="15">
        <f t="shared" si="2"/>
        <v>2.0806850905900198</v>
      </c>
      <c r="X38" s="15">
        <f t="shared" si="3"/>
        <v>55.114939620090951</v>
      </c>
      <c r="Z38">
        <v>52</v>
      </c>
      <c r="AA38">
        <f t="shared" si="13"/>
        <v>0.66800000000000037</v>
      </c>
    </row>
    <row r="39" spans="4:27" x14ac:dyDescent="0.3">
      <c r="D39">
        <v>38</v>
      </c>
      <c r="E39" s="5" t="str">
        <f t="shared" si="1"/>
        <v/>
      </c>
      <c r="F39" s="6" t="str">
        <f t="shared" si="4"/>
        <v/>
      </c>
      <c r="G39" s="5"/>
      <c r="H39" s="6" t="str">
        <f t="shared" si="5"/>
        <v/>
      </c>
      <c r="M39" s="9">
        <v>87</v>
      </c>
      <c r="N39" s="9">
        <v>12.36</v>
      </c>
      <c r="P39" s="11" t="e">
        <f>MAX(P17:P37)</f>
        <v>#REF!</v>
      </c>
      <c r="V39">
        <v>38</v>
      </c>
      <c r="W39" s="15">
        <f t="shared" si="2"/>
        <v>2.1222987924018204</v>
      </c>
      <c r="X39" s="15">
        <f t="shared" si="3"/>
        <v>57.237238412492772</v>
      </c>
    </row>
    <row r="40" spans="4:27" x14ac:dyDescent="0.3">
      <c r="D40">
        <v>39</v>
      </c>
      <c r="E40" s="5" t="str">
        <f t="shared" si="1"/>
        <v/>
      </c>
      <c r="F40" s="6" t="str">
        <f t="shared" si="4"/>
        <v/>
      </c>
      <c r="G40" s="5"/>
      <c r="H40" s="6" t="str">
        <f t="shared" si="5"/>
        <v/>
      </c>
      <c r="M40" s="9">
        <v>88</v>
      </c>
      <c r="N40" s="9">
        <v>13.06</v>
      </c>
      <c r="V40">
        <v>39</v>
      </c>
      <c r="W40" s="15">
        <f t="shared" si="2"/>
        <v>2.1647447682498568</v>
      </c>
      <c r="X40" s="15">
        <f t="shared" si="3"/>
        <v>59.401983180742626</v>
      </c>
    </row>
    <row r="41" spans="4:27" x14ac:dyDescent="0.3">
      <c r="D41">
        <v>40</v>
      </c>
      <c r="E41" s="5" t="str">
        <f t="shared" si="1"/>
        <v/>
      </c>
      <c r="F41" s="6" t="str">
        <f t="shared" si="4"/>
        <v/>
      </c>
      <c r="G41" s="5"/>
      <c r="H41" s="6" t="str">
        <f t="shared" si="5"/>
        <v/>
      </c>
      <c r="M41" s="9">
        <v>89</v>
      </c>
      <c r="N41" s="9">
        <v>13.81</v>
      </c>
      <c r="V41">
        <v>40</v>
      </c>
      <c r="W41" s="15">
        <f t="shared" si="2"/>
        <v>2.208039663614854</v>
      </c>
      <c r="X41" s="15">
        <f t="shared" si="3"/>
        <v>61.610022844357481</v>
      </c>
    </row>
    <row r="42" spans="4:27" x14ac:dyDescent="0.3">
      <c r="E42" s="5" t="str">
        <f t="shared" si="1"/>
        <v/>
      </c>
      <c r="F42" s="6" t="str">
        <f t="shared" si="4"/>
        <v/>
      </c>
      <c r="G42" s="5"/>
      <c r="H42" s="6" t="str">
        <f t="shared" si="5"/>
        <v/>
      </c>
      <c r="M42" s="9">
        <v>90</v>
      </c>
      <c r="N42" s="9">
        <v>14.62</v>
      </c>
      <c r="V42">
        <v>41</v>
      </c>
      <c r="W42" s="15">
        <f t="shared" si="2"/>
        <v>2.252200456887151</v>
      </c>
      <c r="X42" s="15">
        <f t="shared" si="3"/>
        <v>63.862223301244633</v>
      </c>
    </row>
    <row r="43" spans="4:27" x14ac:dyDescent="0.3">
      <c r="F43" s="8">
        <f>SUM(F3:F42)</f>
        <v>98276.340739658379</v>
      </c>
      <c r="G43" s="8">
        <f>SUM(G3:G42)</f>
        <v>0</v>
      </c>
      <c r="M43" s="9">
        <v>91</v>
      </c>
      <c r="N43" s="9">
        <v>15.47</v>
      </c>
      <c r="V43">
        <v>42</v>
      </c>
      <c r="W43" s="15">
        <f t="shared" si="2"/>
        <v>2.2972444660248938</v>
      </c>
      <c r="X43" s="15">
        <f t="shared" si="3"/>
        <v>66.159467767269533</v>
      </c>
    </row>
    <row r="44" spans="4:27" x14ac:dyDescent="0.3">
      <c r="M44" s="9">
        <v>92</v>
      </c>
      <c r="N44" s="9">
        <v>16.39</v>
      </c>
      <c r="V44">
        <v>43</v>
      </c>
      <c r="W44" s="15">
        <f t="shared" si="2"/>
        <v>2.343189355345392</v>
      </c>
      <c r="X44" s="15">
        <f t="shared" si="3"/>
        <v>68.50265712261492</v>
      </c>
    </row>
    <row r="45" spans="4:27" x14ac:dyDescent="0.3">
      <c r="M45" s="9">
        <v>93</v>
      </c>
      <c r="N45" s="9">
        <v>17.36</v>
      </c>
      <c r="V45">
        <v>44</v>
      </c>
      <c r="W45" s="15">
        <f t="shared" si="2"/>
        <v>2.3900531424522997</v>
      </c>
      <c r="X45" s="15">
        <f t="shared" si="3"/>
        <v>70.892710265067223</v>
      </c>
    </row>
    <row r="46" spans="4:27" x14ac:dyDescent="0.3">
      <c r="M46" s="9">
        <v>94</v>
      </c>
      <c r="N46" s="9">
        <v>18.39</v>
      </c>
      <c r="V46">
        <v>45</v>
      </c>
      <c r="W46" s="15">
        <f t="shared" si="2"/>
        <v>2.4378542053013459</v>
      </c>
      <c r="X46" s="15">
        <f t="shared" si="3"/>
        <v>73.330564470368572</v>
      </c>
    </row>
    <row r="47" spans="4:27" x14ac:dyDescent="0.3">
      <c r="M47" s="9">
        <v>95</v>
      </c>
      <c r="N47" s="9">
        <v>19.489999999999998</v>
      </c>
      <c r="V47">
        <v>46</v>
      </c>
      <c r="W47" s="15">
        <f t="shared" si="2"/>
        <v>2.4866112894073726</v>
      </c>
      <c r="X47" s="15">
        <f t="shared" si="3"/>
        <v>75.817175759775949</v>
      </c>
    </row>
    <row r="48" spans="4:27" x14ac:dyDescent="0.3">
      <c r="M48" s="9">
        <v>96</v>
      </c>
      <c r="N48" s="9">
        <v>20.65</v>
      </c>
      <c r="V48">
        <v>47</v>
      </c>
      <c r="W48" s="15">
        <f t="shared" si="2"/>
        <v>2.53634351519552</v>
      </c>
      <c r="X48" s="15">
        <f t="shared" si="3"/>
        <v>78.353519274971475</v>
      </c>
    </row>
    <row r="49" spans="13:24" x14ac:dyDescent="0.3">
      <c r="M49" s="9">
        <v>97</v>
      </c>
      <c r="N49" s="9">
        <v>21.86</v>
      </c>
      <c r="V49">
        <v>48</v>
      </c>
      <c r="W49" s="15">
        <f t="shared" si="2"/>
        <v>2.5870703854994304</v>
      </c>
      <c r="X49" s="15">
        <f t="shared" si="3"/>
        <v>80.940589660470906</v>
      </c>
    </row>
    <row r="50" spans="13:24" x14ac:dyDescent="0.3">
      <c r="M50" s="9">
        <v>98</v>
      </c>
      <c r="N50" s="9">
        <v>23.14</v>
      </c>
      <c r="V50">
        <v>49</v>
      </c>
      <c r="W50" s="15">
        <f t="shared" si="2"/>
        <v>2.6388117932094191</v>
      </c>
      <c r="X50" s="15">
        <f t="shared" si="3"/>
        <v>83.579401453680319</v>
      </c>
    </row>
    <row r="51" spans="13:24" x14ac:dyDescent="0.3">
      <c r="M51" s="9">
        <v>99</v>
      </c>
      <c r="N51" s="9">
        <v>24.48</v>
      </c>
      <c r="V51">
        <v>50</v>
      </c>
      <c r="W51" s="15">
        <f t="shared" si="2"/>
        <v>2.6915880290736074</v>
      </c>
      <c r="X51" s="15">
        <f t="shared" si="3"/>
        <v>86.270989482753933</v>
      </c>
    </row>
    <row r="52" spans="13:24" x14ac:dyDescent="0.3">
      <c r="M52" s="9">
        <v>100</v>
      </c>
      <c r="N52" s="9">
        <v>25.88</v>
      </c>
      <c r="V52">
        <v>51</v>
      </c>
      <c r="W52" s="15">
        <f t="shared" si="2"/>
        <v>2.7454197896550796</v>
      </c>
      <c r="X52" s="15">
        <f t="shared" si="3"/>
        <v>89.016409272409007</v>
      </c>
    </row>
    <row r="53" spans="13:24" x14ac:dyDescent="0.3">
      <c r="V53">
        <v>52</v>
      </c>
      <c r="W53" s="15">
        <f t="shared" si="2"/>
        <v>2.8003281854481812</v>
      </c>
      <c r="X53" s="15">
        <f t="shared" si="3"/>
        <v>91.816737457857187</v>
      </c>
    </row>
    <row r="54" spans="13:24" x14ac:dyDescent="0.3">
      <c r="V54">
        <v>53</v>
      </c>
      <c r="W54" s="15">
        <f t="shared" si="2"/>
        <v>2.8563347491571447</v>
      </c>
      <c r="X54" s="15">
        <f t="shared" si="3"/>
        <v>94.673072207014329</v>
      </c>
    </row>
    <row r="55" spans="13:24" x14ac:dyDescent="0.3">
      <c r="V55">
        <v>54</v>
      </c>
      <c r="W55" s="15">
        <f t="shared" si="2"/>
        <v>2.9134614441402875</v>
      </c>
      <c r="X55" s="15">
        <f t="shared" si="3"/>
        <v>97.58653365115461</v>
      </c>
    </row>
    <row r="56" spans="13:24" x14ac:dyDescent="0.3">
      <c r="V56">
        <v>55</v>
      </c>
      <c r="W56" s="15">
        <f t="shared" si="2"/>
        <v>2.9717306730230932</v>
      </c>
      <c r="X56" s="15">
        <f t="shared" si="3"/>
        <v>100.5582643241777</v>
      </c>
    </row>
    <row r="57" spans="13:24" x14ac:dyDescent="0.3">
      <c r="V57">
        <v>56</v>
      </c>
      <c r="W57" s="15">
        <f t="shared" si="2"/>
        <v>3.0311652864835552</v>
      </c>
      <c r="X57" s="15">
        <f t="shared" si="3"/>
        <v>103.58942961066126</v>
      </c>
    </row>
    <row r="58" spans="13:24" x14ac:dyDescent="0.3">
      <c r="V58">
        <v>57</v>
      </c>
      <c r="W58" s="15">
        <f t="shared" si="2"/>
        <v>3.0917885922132262</v>
      </c>
      <c r="X58" s="15">
        <f t="shared" si="3"/>
        <v>106.68121820287448</v>
      </c>
    </row>
    <row r="59" spans="13:24" x14ac:dyDescent="0.3">
      <c r="V59">
        <v>58</v>
      </c>
      <c r="W59" s="15">
        <f t="shared" si="2"/>
        <v>3.1536243640574906</v>
      </c>
      <c r="X59" s="15">
        <f t="shared" si="3"/>
        <v>109.83484256693197</v>
      </c>
    </row>
    <row r="60" spans="13:24" x14ac:dyDescent="0.3">
      <c r="V60">
        <v>59</v>
      </c>
      <c r="W60" s="15">
        <f t="shared" si="2"/>
        <v>3.2166968513386403</v>
      </c>
      <c r="X60" s="15">
        <f t="shared" si="3"/>
        <v>113.05153941827061</v>
      </c>
    </row>
    <row r="61" spans="13:24" x14ac:dyDescent="0.3">
      <c r="V61">
        <v>60</v>
      </c>
      <c r="W61" s="15">
        <f t="shared" si="2"/>
        <v>3.2810307883654133</v>
      </c>
      <c r="X61" s="15">
        <f t="shared" si="3"/>
        <v>116.33257020663602</v>
      </c>
    </row>
    <row r="62" spans="13:24" x14ac:dyDescent="0.3">
      <c r="V62">
        <v>61</v>
      </c>
      <c r="W62" s="15">
        <f t="shared" si="2"/>
        <v>3.3466514041327216</v>
      </c>
      <c r="X62" s="15">
        <f t="shared" si="3"/>
        <v>119.67922161076874</v>
      </c>
    </row>
    <row r="63" spans="13:24" x14ac:dyDescent="0.3">
      <c r="V63">
        <v>62</v>
      </c>
      <c r="W63" s="15">
        <f t="shared" si="2"/>
        <v>3.4135844322153761</v>
      </c>
      <c r="X63" s="15">
        <f t="shared" si="3"/>
        <v>123.09280604298411</v>
      </c>
    </row>
    <row r="64" spans="13:24" x14ac:dyDescent="0.3">
      <c r="V64">
        <v>63</v>
      </c>
      <c r="W64" s="15">
        <f t="shared" si="2"/>
        <v>3.4818561208596837</v>
      </c>
      <c r="X64" s="15">
        <f t="shared" si="3"/>
        <v>126.5746621638438</v>
      </c>
    </row>
    <row r="65" spans="22:24" x14ac:dyDescent="0.3">
      <c r="V65">
        <v>64</v>
      </c>
      <c r="W65" s="15">
        <f t="shared" si="2"/>
        <v>3.5514932432768775</v>
      </c>
      <c r="X65" s="15">
        <f t="shared" si="3"/>
        <v>130.12615540712068</v>
      </c>
    </row>
    <row r="66" spans="22:24" x14ac:dyDescent="0.3">
      <c r="V66">
        <v>65</v>
      </c>
      <c r="W66" s="15">
        <f t="shared" si="2"/>
        <v>3.6225231081424152</v>
      </c>
      <c r="X66" s="15">
        <f t="shared" si="3"/>
        <v>133.74867851526309</v>
      </c>
    </row>
    <row r="67" spans="22:24" x14ac:dyDescent="0.3">
      <c r="V67">
        <v>66</v>
      </c>
      <c r="W67" s="15">
        <f t="shared" si="2"/>
        <v>3.6949735703052635</v>
      </c>
      <c r="X67" s="15">
        <f t="shared" si="3"/>
        <v>137.44365208556835</v>
      </c>
    </row>
    <row r="68" spans="22:24" x14ac:dyDescent="0.3">
      <c r="V68">
        <v>67</v>
      </c>
      <c r="W68" s="15">
        <f t="shared" ref="W68:W101" si="14">W67*$U$2</f>
        <v>3.7688730417113687</v>
      </c>
      <c r="X68" s="15">
        <f t="shared" ref="X68:X101" si="15">W68+X67</f>
        <v>141.21252512727972</v>
      </c>
    </row>
    <row r="69" spans="22:24" x14ac:dyDescent="0.3">
      <c r="V69">
        <v>68</v>
      </c>
      <c r="W69" s="15">
        <f t="shared" si="14"/>
        <v>3.844250502545596</v>
      </c>
      <c r="X69" s="15">
        <f t="shared" si="15"/>
        <v>145.05677562982532</v>
      </c>
    </row>
    <row r="70" spans="22:24" x14ac:dyDescent="0.3">
      <c r="V70">
        <v>69</v>
      </c>
      <c r="W70" s="15">
        <f t="shared" si="14"/>
        <v>3.9211355125965079</v>
      </c>
      <c r="X70" s="15">
        <f t="shared" si="15"/>
        <v>148.97791114242185</v>
      </c>
    </row>
    <row r="71" spans="22:24" x14ac:dyDescent="0.3">
      <c r="V71">
        <v>70</v>
      </c>
      <c r="W71" s="15">
        <f t="shared" si="14"/>
        <v>3.9995582228484383</v>
      </c>
      <c r="X71" s="15">
        <f t="shared" si="15"/>
        <v>152.97746936527028</v>
      </c>
    </row>
    <row r="72" spans="22:24" x14ac:dyDescent="0.3">
      <c r="V72">
        <v>71</v>
      </c>
      <c r="W72" s="15">
        <f t="shared" si="14"/>
        <v>4.0795493873054074</v>
      </c>
      <c r="X72" s="15">
        <f t="shared" si="15"/>
        <v>157.05701875257569</v>
      </c>
    </row>
    <row r="73" spans="22:24" x14ac:dyDescent="0.3">
      <c r="V73">
        <v>72</v>
      </c>
      <c r="W73" s="15">
        <f t="shared" si="14"/>
        <v>4.1611403750515157</v>
      </c>
      <c r="X73" s="15">
        <f t="shared" si="15"/>
        <v>161.21815912762719</v>
      </c>
    </row>
    <row r="74" spans="22:24" x14ac:dyDescent="0.3">
      <c r="V74">
        <v>73</v>
      </c>
      <c r="W74" s="15">
        <f t="shared" si="14"/>
        <v>4.2443631825525463</v>
      </c>
      <c r="X74" s="15">
        <f t="shared" si="15"/>
        <v>165.46252231017974</v>
      </c>
    </row>
    <row r="75" spans="22:24" x14ac:dyDescent="0.3">
      <c r="V75">
        <v>74</v>
      </c>
      <c r="W75" s="15">
        <f t="shared" si="14"/>
        <v>4.3292504462035977</v>
      </c>
      <c r="X75" s="15">
        <f t="shared" si="15"/>
        <v>169.79177275638332</v>
      </c>
    </row>
    <row r="76" spans="22:24" x14ac:dyDescent="0.3">
      <c r="V76">
        <v>75</v>
      </c>
      <c r="W76" s="15">
        <f t="shared" si="14"/>
        <v>4.4158354551276693</v>
      </c>
      <c r="X76" s="15">
        <f t="shared" si="15"/>
        <v>174.207608211511</v>
      </c>
    </row>
    <row r="77" spans="22:24" x14ac:dyDescent="0.3">
      <c r="V77">
        <v>76</v>
      </c>
      <c r="W77" s="15">
        <f t="shared" si="14"/>
        <v>4.5041521642302227</v>
      </c>
      <c r="X77" s="15">
        <f t="shared" si="15"/>
        <v>178.71176037574122</v>
      </c>
    </row>
    <row r="78" spans="22:24" x14ac:dyDescent="0.3">
      <c r="V78">
        <v>77</v>
      </c>
      <c r="W78" s="15">
        <f t="shared" si="14"/>
        <v>4.5942352075148269</v>
      </c>
      <c r="X78" s="15">
        <f t="shared" si="15"/>
        <v>183.30599558325605</v>
      </c>
    </row>
    <row r="79" spans="22:24" x14ac:dyDescent="0.3">
      <c r="V79">
        <v>78</v>
      </c>
      <c r="W79" s="15">
        <f t="shared" si="14"/>
        <v>4.6861199116651235</v>
      </c>
      <c r="X79" s="15">
        <f t="shared" si="15"/>
        <v>187.99211549492117</v>
      </c>
    </row>
    <row r="80" spans="22:24" x14ac:dyDescent="0.3">
      <c r="V80">
        <v>79</v>
      </c>
      <c r="W80" s="15">
        <f t="shared" si="14"/>
        <v>4.7798423098984264</v>
      </c>
      <c r="X80" s="15">
        <f t="shared" si="15"/>
        <v>192.77195780481958</v>
      </c>
    </row>
    <row r="81" spans="22:24" x14ac:dyDescent="0.3">
      <c r="V81">
        <v>80</v>
      </c>
      <c r="W81" s="15">
        <f t="shared" si="14"/>
        <v>4.8754391560963954</v>
      </c>
      <c r="X81" s="15">
        <f t="shared" si="15"/>
        <v>197.64739696091598</v>
      </c>
    </row>
    <row r="82" spans="22:24" x14ac:dyDescent="0.3">
      <c r="V82">
        <v>81</v>
      </c>
      <c r="W82" s="15">
        <f t="shared" si="14"/>
        <v>4.9729479392183231</v>
      </c>
      <c r="X82" s="15">
        <f t="shared" si="15"/>
        <v>202.62034490013431</v>
      </c>
    </row>
    <row r="83" spans="22:24" x14ac:dyDescent="0.3">
      <c r="V83">
        <v>82</v>
      </c>
      <c r="W83" s="15">
        <f t="shared" si="14"/>
        <v>5.07240689800269</v>
      </c>
      <c r="X83" s="15">
        <f t="shared" si="15"/>
        <v>207.69275179813701</v>
      </c>
    </row>
    <row r="84" spans="22:24" x14ac:dyDescent="0.3">
      <c r="V84">
        <v>83</v>
      </c>
      <c r="W84" s="15">
        <f t="shared" si="14"/>
        <v>5.1738550359627435</v>
      </c>
      <c r="X84" s="15">
        <f t="shared" si="15"/>
        <v>212.86660683409974</v>
      </c>
    </row>
    <row r="85" spans="22:24" x14ac:dyDescent="0.3">
      <c r="V85">
        <v>84</v>
      </c>
      <c r="W85" s="15">
        <f t="shared" si="14"/>
        <v>5.2773321366819985</v>
      </c>
      <c r="X85" s="15">
        <f t="shared" si="15"/>
        <v>218.14393897078173</v>
      </c>
    </row>
    <row r="86" spans="22:24" x14ac:dyDescent="0.3">
      <c r="V86">
        <v>85</v>
      </c>
      <c r="W86" s="15">
        <f t="shared" si="14"/>
        <v>5.3828787794156385</v>
      </c>
      <c r="X86" s="15">
        <f t="shared" si="15"/>
        <v>223.52681775019738</v>
      </c>
    </row>
    <row r="87" spans="22:24" x14ac:dyDescent="0.3">
      <c r="V87">
        <v>86</v>
      </c>
      <c r="W87" s="15">
        <f t="shared" si="14"/>
        <v>5.4905363550039512</v>
      </c>
      <c r="X87" s="15">
        <f t="shared" si="15"/>
        <v>229.01735410520132</v>
      </c>
    </row>
    <row r="88" spans="22:24" x14ac:dyDescent="0.3">
      <c r="V88">
        <v>87</v>
      </c>
      <c r="W88" s="15">
        <f t="shared" si="14"/>
        <v>5.6003470821040304</v>
      </c>
      <c r="X88" s="15">
        <f t="shared" si="15"/>
        <v>234.61770118730536</v>
      </c>
    </row>
    <row r="89" spans="22:24" x14ac:dyDescent="0.3">
      <c r="V89">
        <v>88</v>
      </c>
      <c r="W89" s="15">
        <f t="shared" si="14"/>
        <v>5.7123540237461112</v>
      </c>
      <c r="X89" s="15">
        <f t="shared" si="15"/>
        <v>240.33005521105147</v>
      </c>
    </row>
    <row r="90" spans="22:24" x14ac:dyDescent="0.3">
      <c r="V90">
        <v>89</v>
      </c>
      <c r="W90" s="15">
        <f t="shared" si="14"/>
        <v>5.8266011042210337</v>
      </c>
      <c r="X90" s="15">
        <f t="shared" si="15"/>
        <v>246.1566563152725</v>
      </c>
    </row>
    <row r="91" spans="22:24" x14ac:dyDescent="0.3">
      <c r="V91">
        <v>90</v>
      </c>
      <c r="W91" s="15">
        <f t="shared" si="14"/>
        <v>5.9431331263054545</v>
      </c>
      <c r="X91" s="15">
        <f t="shared" si="15"/>
        <v>252.09978944157797</v>
      </c>
    </row>
    <row r="92" spans="22:24" x14ac:dyDescent="0.3">
      <c r="V92">
        <v>91</v>
      </c>
      <c r="W92" s="15">
        <f t="shared" si="14"/>
        <v>6.0619957888315641</v>
      </c>
      <c r="X92" s="15">
        <f t="shared" si="15"/>
        <v>258.16178523040952</v>
      </c>
    </row>
    <row r="93" spans="22:24" x14ac:dyDescent="0.3">
      <c r="V93">
        <v>92</v>
      </c>
      <c r="W93" s="15">
        <f t="shared" si="14"/>
        <v>6.1832357046081956</v>
      </c>
      <c r="X93" s="15">
        <f t="shared" si="15"/>
        <v>264.34502093501771</v>
      </c>
    </row>
    <row r="94" spans="22:24" x14ac:dyDescent="0.3">
      <c r="V94">
        <v>93</v>
      </c>
      <c r="W94" s="15">
        <f t="shared" si="14"/>
        <v>6.3069004187003594</v>
      </c>
      <c r="X94" s="15">
        <f t="shared" si="15"/>
        <v>270.65192135371808</v>
      </c>
    </row>
    <row r="95" spans="22:24" x14ac:dyDescent="0.3">
      <c r="V95">
        <v>94</v>
      </c>
      <c r="W95" s="15">
        <f t="shared" si="14"/>
        <v>6.4330384270743668</v>
      </c>
      <c r="X95" s="15">
        <f t="shared" si="15"/>
        <v>277.08495978079247</v>
      </c>
    </row>
    <row r="96" spans="22:24" x14ac:dyDescent="0.3">
      <c r="V96">
        <v>95</v>
      </c>
      <c r="W96" s="15">
        <f t="shared" si="14"/>
        <v>6.5616991956158541</v>
      </c>
      <c r="X96" s="15">
        <f t="shared" si="15"/>
        <v>283.64665897640833</v>
      </c>
    </row>
    <row r="97" spans="22:24" x14ac:dyDescent="0.3">
      <c r="V97">
        <v>96</v>
      </c>
      <c r="W97" s="15">
        <f t="shared" si="14"/>
        <v>6.692933179528171</v>
      </c>
      <c r="X97" s="15">
        <f t="shared" si="15"/>
        <v>290.33959215593649</v>
      </c>
    </row>
    <row r="98" spans="22:24" x14ac:dyDescent="0.3">
      <c r="V98">
        <v>97</v>
      </c>
      <c r="W98" s="15">
        <f t="shared" si="14"/>
        <v>6.8267918431187349</v>
      </c>
      <c r="X98" s="15">
        <f t="shared" si="15"/>
        <v>297.1663839990552</v>
      </c>
    </row>
    <row r="99" spans="22:24" x14ac:dyDescent="0.3">
      <c r="V99">
        <v>98</v>
      </c>
      <c r="W99" s="15">
        <f t="shared" si="14"/>
        <v>6.9633276799811101</v>
      </c>
      <c r="X99" s="15">
        <f t="shared" si="15"/>
        <v>304.12971167903629</v>
      </c>
    </row>
    <row r="100" spans="22:24" x14ac:dyDescent="0.3">
      <c r="V100">
        <v>99</v>
      </c>
      <c r="W100" s="15">
        <f t="shared" si="14"/>
        <v>7.1025942335807324</v>
      </c>
      <c r="X100" s="15">
        <f t="shared" si="15"/>
        <v>311.23230591261705</v>
      </c>
    </row>
    <row r="101" spans="22:24" x14ac:dyDescent="0.3">
      <c r="V101">
        <v>100</v>
      </c>
      <c r="W101" s="15">
        <f t="shared" si="14"/>
        <v>7.2446461182523469</v>
      </c>
      <c r="X101" s="15">
        <f t="shared" si="15"/>
        <v>318.47695203086937</v>
      </c>
    </row>
  </sheetData>
  <mergeCells count="12">
    <mergeCell ref="E1:E2"/>
    <mergeCell ref="F1:F2"/>
    <mergeCell ref="A9:B9"/>
    <mergeCell ref="A10:B10"/>
    <mergeCell ref="A6:B6"/>
    <mergeCell ref="A7:B7"/>
    <mergeCell ref="A19:B19"/>
    <mergeCell ref="A20:B20"/>
    <mergeCell ref="A13:B13"/>
    <mergeCell ref="A14:B14"/>
    <mergeCell ref="A17:B17"/>
    <mergeCell ref="A18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</dc:creator>
  <cp:lastModifiedBy>Λεωνιδας Διαμαντοπουλος</cp:lastModifiedBy>
  <cp:lastPrinted>2018-06-08T07:17:55Z</cp:lastPrinted>
  <dcterms:created xsi:type="dcterms:W3CDTF">2016-12-17T17:33:13Z</dcterms:created>
  <dcterms:modified xsi:type="dcterms:W3CDTF">2021-04-04T19:12:26Z</dcterms:modified>
</cp:coreProperties>
</file>