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SOFT\SERVER GST\84.GST FINAL\2019\1_Technical\1_Fresher\FR.Dev_v4.0\T_DevJava\JSFW\"/>
    </mc:Choice>
  </mc:AlternateContent>
  <bookViews>
    <workbookView xWindow="720" yWindow="460" windowWidth="24880" windowHeight="15540"/>
  </bookViews>
  <sheets>
    <sheet name="Spring Framework_Syllabus" sheetId="7" r:id="rId1"/>
    <sheet name="Spring Framework_Schedule" sheetId="11" r:id="rId2"/>
    <sheet name="Author and Rec of Changes" sheetId="9" r:id="rId3"/>
    <sheet name="DV-IDENTITY-0" sheetId="10" state="veryHidden" r:id="rId4"/>
  </sheets>
  <definedNames>
    <definedName name="_xlnm._FilterDatabase" localSheetId="1" hidden="1">'Spring Framework_Schedule'!$A$2:$J$138</definedName>
    <definedName name="_xlnm._FilterDatabase" hidden="1">#REF!</definedName>
    <definedName name="_xlnm.Print_Area" localSheetId="2">'Author and Rec of Changes'!$A$1:$F$16</definedName>
  </definedNames>
  <calcPr calcId="152511"/>
</workbook>
</file>

<file path=xl/calcChain.xml><?xml version="1.0" encoding="utf-8"?>
<calcChain xmlns="http://schemas.openxmlformats.org/spreadsheetml/2006/main">
  <c r="H137" i="11" l="1"/>
  <c r="H138" i="11"/>
  <c r="H139" i="11"/>
  <c r="H140" i="11"/>
  <c r="H141" i="11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A1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W1" i="10"/>
  <c r="CX1" i="10"/>
  <c r="CY1" i="10"/>
  <c r="CZ1" i="10"/>
  <c r="DA1" i="10"/>
  <c r="DB1" i="10"/>
  <c r="DC1" i="10"/>
  <c r="DD1" i="10"/>
  <c r="DE1" i="10"/>
  <c r="DF1" i="10"/>
  <c r="DG1" i="10"/>
  <c r="DH1" i="10"/>
  <c r="DI1" i="10"/>
  <c r="DJ1" i="10"/>
  <c r="DK1" i="10"/>
  <c r="DL1" i="10"/>
  <c r="DM1" i="10"/>
  <c r="DN1" i="10"/>
  <c r="DO1" i="10"/>
  <c r="DP1" i="10"/>
  <c r="DQ1" i="10"/>
  <c r="DR1" i="10"/>
  <c r="DS1" i="10"/>
  <c r="DT1" i="10"/>
  <c r="DU1" i="10"/>
  <c r="DV1" i="10"/>
  <c r="DW1" i="10"/>
  <c r="DX1" i="10"/>
  <c r="DY1" i="10"/>
  <c r="DZ1" i="10"/>
  <c r="EA1" i="10"/>
  <c r="EB1" i="10"/>
  <c r="EC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I141" i="11" l="1"/>
  <c r="D17" i="7" s="1"/>
  <c r="I140" i="11"/>
  <c r="D16" i="7" s="1"/>
  <c r="H142" i="11"/>
  <c r="I139" i="11" s="1"/>
  <c r="D15" i="7" s="1"/>
  <c r="I138" i="11"/>
  <c r="D14" i="7" s="1"/>
  <c r="I137" i="11"/>
  <c r="I142" i="11" l="1"/>
  <c r="D13" i="7"/>
</calcChain>
</file>

<file path=xl/sharedStrings.xml><?xml version="1.0" encoding="utf-8"?>
<sst xmlns="http://schemas.openxmlformats.org/spreadsheetml/2006/main" count="943" uniqueCount="508">
  <si>
    <t>Unit</t>
  </si>
  <si>
    <t>Notes</t>
  </si>
  <si>
    <t>References</t>
  </si>
  <si>
    <t>RECORD OF CHANGES</t>
  </si>
  <si>
    <t>*A - Added M - Modified D - Deleted</t>
  </si>
  <si>
    <t>Date</t>
  </si>
  <si>
    <t>Changes</t>
  </si>
  <si>
    <t>Contents</t>
  </si>
  <si>
    <t>Version</t>
  </si>
  <si>
    <t>A*
M, D</t>
  </si>
  <si>
    <t>Topic Code</t>
  </si>
  <si>
    <t>Topic Name</t>
  </si>
  <si>
    <t>Training Audience</t>
  </si>
  <si>
    <t>Course Objectives</t>
  </si>
  <si>
    <t>Topic Outline</t>
  </si>
  <si>
    <t>Time Allocation</t>
  </si>
  <si>
    <t>Concept/Lecture</t>
  </si>
  <si>
    <t>Assignment/Lab</t>
  </si>
  <si>
    <t>Test/Quiz</t>
  </si>
  <si>
    <t>Guides/Review</t>
  </si>
  <si>
    <t>Text book</t>
  </si>
  <si>
    <t>Technical requirements</t>
  </si>
  <si>
    <t>Assessment Scheme</t>
  </si>
  <si>
    <t>Quiz</t>
  </si>
  <si>
    <t>Assignments</t>
  </si>
  <si>
    <t>Final Test</t>
  </si>
  <si>
    <t>Passing criteria</t>
  </si>
  <si>
    <t>Name</t>
  </si>
  <si>
    <t>Code</t>
  </si>
  <si>
    <t>Training Materials &amp; Environments</t>
  </si>
  <si>
    <t>Training Delivery Principles</t>
  </si>
  <si>
    <t>Re-Test</t>
  </si>
  <si>
    <t>Trainees</t>
  </si>
  <si>
    <t>Trainer</t>
  </si>
  <si>
    <t>Training</t>
  </si>
  <si>
    <t>Others</t>
  </si>
  <si>
    <t>AUTHORSHIP</t>
  </si>
  <si>
    <t>Role</t>
  </si>
  <si>
    <t>Delivery Type</t>
  </si>
  <si>
    <t>Content</t>
  </si>
  <si>
    <t>Training Materials / Logistics &amp; General Notes
(Required, For Reference, etc.)</t>
  </si>
  <si>
    <t>Total</t>
  </si>
  <si>
    <t>Exam</t>
  </si>
  <si>
    <t>Marking</t>
  </si>
  <si>
    <t>AAAAAH/rVCM=</t>
  </si>
  <si>
    <t>AAAAAH/rVCQ=</t>
  </si>
  <si>
    <t>AAAAAH/rVCU=</t>
  </si>
  <si>
    <t>Creator</t>
  </si>
  <si>
    <t>Reviewer</t>
  </si>
  <si>
    <t>Approver</t>
  </si>
  <si>
    <t>Waiver Criteria</t>
  </si>
  <si>
    <t>Description</t>
  </si>
  <si>
    <t>Training Unit/Chapter</t>
  </si>
  <si>
    <t>Lecture</t>
  </si>
  <si>
    <t>Duration (mins)</t>
  </si>
  <si>
    <t>Learning Objectives</t>
  </si>
  <si>
    <t>Training Format</t>
  </si>
  <si>
    <t>Account</t>
  </si>
  <si>
    <t>Unit 1</t>
  </si>
  <si>
    <t>Unit 2</t>
  </si>
  <si>
    <t>Unit 3</t>
  </si>
  <si>
    <t>1 Course Introduction</t>
  </si>
  <si>
    <t>2 Spring Introduction Intro</t>
  </si>
  <si>
    <t>3 Spring Framework</t>
  </si>
  <si>
    <t>4 Spring History</t>
  </si>
  <si>
    <t>5 Spring Advantages</t>
  </si>
  <si>
    <t>6 Spring Products</t>
  </si>
  <si>
    <t>7 Spring Core</t>
  </si>
  <si>
    <t>8 Spring Data</t>
  </si>
  <si>
    <t>9 Spring MVC</t>
  </si>
  <si>
    <t>10 Spring Security</t>
  </si>
  <si>
    <t>11 Spring Boot</t>
  </si>
  <si>
    <t>12 Prerequisites</t>
  </si>
  <si>
    <t>13 Environments</t>
  </si>
  <si>
    <t>14 IDEs</t>
  </si>
  <si>
    <t>15 STS</t>
  </si>
  <si>
    <t>16 Spring Introduction Summary</t>
  </si>
  <si>
    <t>23 Spring Core Intro</t>
  </si>
  <si>
    <t>24 Spring Core Framework</t>
  </si>
  <si>
    <t>25 Sample Application Part 1</t>
  </si>
  <si>
    <t>26 Sample Application Part 2</t>
  </si>
  <si>
    <t>27 Constructor Drawbacks</t>
  </si>
  <si>
    <t>28 IoC</t>
  </si>
  <si>
    <t>29 DI</t>
  </si>
  <si>
    <t>30 Constructor vs Setter Injection</t>
  </si>
  <si>
    <t>31 Implementation vs design problems</t>
  </si>
  <si>
    <t>32 POJO</t>
  </si>
  <si>
    <t>33 Beans</t>
  </si>
  <si>
    <t>34 Spring Configuration</t>
  </si>
  <si>
    <t>35 Spring Projects</t>
  </si>
  <si>
    <t>36 XML Configuration Intro</t>
  </si>
  <si>
    <t>37 Resources in Maven Projects</t>
  </si>
  <si>
    <t>38 XML Configuration</t>
  </si>
  <si>
    <t>39 Bean Configuration File in STS</t>
  </si>
  <si>
    <t>40 Bean Demo</t>
  </si>
  <si>
    <t>41 Setter Injection</t>
  </si>
  <si>
    <t>42 Constructor Injection</t>
  </si>
  <si>
    <t>43 Autowired</t>
  </si>
  <si>
    <t>44 Autowired with Constructor Injection</t>
  </si>
  <si>
    <t>45 Autowired with Type and Name</t>
  </si>
  <si>
    <t>46 XML Configuration Summary</t>
  </si>
  <si>
    <t>47 Annotation Configuration Intro</t>
  </si>
  <si>
    <t>48 Annotation Configuration</t>
  </si>
  <si>
    <t>49 Preparation</t>
  </si>
  <si>
    <t>50 context Schema</t>
  </si>
  <si>
    <t>51 annotation config vs annotation scan</t>
  </si>
  <si>
    <t>52 annotation config vs annotation scan Labs</t>
  </si>
  <si>
    <t>53 Stereotype Annotations</t>
  </si>
  <si>
    <t>54 Stereotype Annotation Labs</t>
  </si>
  <si>
    <t>55 @Autowired Setter Injection Lab</t>
  </si>
  <si>
    <t>56 @Autowired Member Injection Lab</t>
  </si>
  <si>
    <t>57 @Autowired Constructor Injection Lab</t>
  </si>
  <si>
    <t>58 Annotation Configuration Summary</t>
  </si>
  <si>
    <t>59 Java Based Configuration Intro</t>
  </si>
  <si>
    <t>60 No XML</t>
  </si>
  <si>
    <t>61 Preparation</t>
  </si>
  <si>
    <t>62 Application Config Class</t>
  </si>
  <si>
    <t>63 Annotations</t>
  </si>
  <si>
    <t>64 Application Config Class Lab</t>
  </si>
  <si>
    <t>65 @Bean</t>
  </si>
  <si>
    <t>66 Injection Demo</t>
  </si>
  <si>
    <t>67 Autowired Lab</t>
  </si>
  <si>
    <t>68 Java Based Configuration Summary</t>
  </si>
  <si>
    <t>69 Bean Scopes</t>
  </si>
  <si>
    <t>70 Singleton Beans</t>
  </si>
  <si>
    <t>71 Prototype Beans</t>
  </si>
  <si>
    <t>What is IoC containers</t>
  </si>
  <si>
    <t>What is dependency injection</t>
  </si>
  <si>
    <t>Provide knowledge of constructor and setter injection</t>
  </si>
  <si>
    <t>What is problem of constructor and setter injection</t>
  </si>
  <si>
    <t>Equip knowledge of plain old java object</t>
  </si>
  <si>
    <t>Explain theory of beans</t>
  </si>
  <si>
    <t>Spring core</t>
  </si>
  <si>
    <t>https://www.youtube.com/watch?v=g5_d2p3Oux4&amp;amp;list=PL-gPfnsMEiqntDgyagl3AszOF2-xFUa-x&amp;amp;index=1</t>
  </si>
  <si>
    <t>https://www.youtube.com/watch?v=pmKbv_KhI3U&amp;amp;list=PL-gPfnsMEiqntDgyagl3AszOF2-xFUa-x&amp;amp;index=2</t>
  </si>
  <si>
    <t>https://www.youtube.com/watch?v=f1sS1HjruNw&amp;amp;list=PL-gPfnsMEiqntDgyagl3AszOF2-xFUa-x&amp;amp;index=3</t>
  </si>
  <si>
    <t>https://www.youtube.com/watch?v=rjgL8HEeqWI&amp;amp;list=PL-gPfnsMEiqntDgyagl3AszOF2-xFUa-x&amp;amp;index=4</t>
  </si>
  <si>
    <t>https://www.youtube.com/watch?v=MqFKePMovQo&amp;amp;list=PL-gPfnsMEiqntDgyagl3AszOF2-xFUa-x&amp;amp;index=5</t>
  </si>
  <si>
    <t>https://www.youtube.com/watch?v=RhHBfRCVlxY&amp;amp;list=PL-gPfnsMEiqntDgyagl3AszOF2-xFUa-x&amp;amp;index=6</t>
  </si>
  <si>
    <t>https://www.youtube.com/watch?v=yLWk-p8_dc4&amp;amp;list=PL-gPfnsMEiqntDgyagl3AszOF2-xFUa-x&amp;amp;index=7</t>
  </si>
  <si>
    <t>https://www.youtube.com/watch?v=FMjvKcgsrEc&amp;amp;list=PL-gPfnsMEiqntDgyagl3AszOF2-xFUa-x&amp;amp;index=8</t>
  </si>
  <si>
    <t>https://www.youtube.com/watch?v=zaIBvFJH22M&amp;amp;list=PL-gPfnsMEiqntDgyagl3AszOF2-xFUa-x&amp;amp;index=9</t>
  </si>
  <si>
    <t>https://www.youtube.com/watch?v=k3gQDO5Scd0&amp;amp;list=PL-gPfnsMEiqntDgyagl3AszOF2-xFUa-x&amp;amp;index=10</t>
  </si>
  <si>
    <t>https://www.youtube.com/watch?v=O8x3a12Ncx8&amp;amp;list=PL-gPfnsMEiqntDgyagl3AszOF2-xFUa-x&amp;amp;index=11</t>
  </si>
  <si>
    <t>https://www.youtube.com/watch?v=19AQvvGb_ys&amp;amp;list=PL-gPfnsMEiqntDgyagl3AszOF2-xFUa-x&amp;amp;index=12</t>
  </si>
  <si>
    <t>https://www.youtube.com/watch?v=LuaIEpPSSIw&amp;amp;list=PL-gPfnsMEiqntDgyagl3AszOF2-xFUa-x&amp;amp;index=13</t>
  </si>
  <si>
    <t>https://www.youtube.com/watch?v=Dg8Neycttsg&amp;amp;list=PL-gPfnsMEiqntDgyagl3AszOF2-xFUa-x&amp;amp;index=14</t>
  </si>
  <si>
    <t>https://www.youtube.com/watch?v=KwNaF-qB0jE&amp;amp;list=PL-gPfnsMEiqntDgyagl3AszOF2-xFUa-x&amp;amp;index=15</t>
  </si>
  <si>
    <t>https://www.youtube.com/watch?v=dAULNhfeSQ8&amp;amp;list=PL-gPfnsMEiqntDgyagl3AszOF2-xFUa-x&amp;amp;index=16</t>
  </si>
  <si>
    <t>https://www.youtube.com/watch?v=9PfCtgiT9Ow&amp;amp;list=PL-gPfnsMEiqntDgyagl3AszOF2-xFUa-x&amp;amp;index=17</t>
  </si>
  <si>
    <t>https://www.youtube.com/watch?v=ko22T9sxMFQ&amp;amp;list=PL-gPfnsMEiqntDgyagl3AszOF2-xFUa-x&amp;amp;index=18</t>
  </si>
  <si>
    <t>https://www.youtube.com/watch?v=TgBAGzjoot0&amp;amp;list=PL-gPfnsMEiqntDgyagl3AszOF2-xFUa-x&amp;amp;index=19</t>
  </si>
  <si>
    <t>https://www.youtube.com/watch?v=jWW80y_1V7M&amp;amp;list=PL-gPfnsMEiqntDgyagl3AszOF2-xFUa-x&amp;amp;index=20</t>
  </si>
  <si>
    <t>https://www.youtube.com/watch?v=1l102ysMVDk&amp;amp;list=PL-gPfnsMEiqntDgyagl3AszOF2-xFUa-x&amp;amp;index=21</t>
  </si>
  <si>
    <t>https://www.youtube.com/watch?v=HxNOyLhCCYU&amp;amp;list=PL-gPfnsMEiqntDgyagl3AszOF2-xFUa-x&amp;amp;index=22</t>
  </si>
  <si>
    <t>https://www.youtube.com/watch?v=KWZY40V3-m4&amp;amp;list=PL-gPfnsMEiqntDgyagl3AszOF2-xFUa-x&amp;amp;index=23</t>
  </si>
  <si>
    <t>https://www.youtube.com/watch?v=NNuQ2_o_rvc&amp;amp;list=PL-gPfnsMEiqntDgyagl3AszOF2-xFUa-x&amp;amp;index=24</t>
  </si>
  <si>
    <t>https://www.youtube.com/watch?v=RxguTmZ3ico&amp;amp;list=PL-gPfnsMEiqntDgyagl3AszOF2-xFUa-x&amp;amp;index=25</t>
  </si>
  <si>
    <t>https://www.youtube.com/watch?v=rZ0g1cR88FY&amp;amp;list=PL-gPfnsMEiqntDgyagl3AszOF2-xFUa-x&amp;amp;index=26</t>
  </si>
  <si>
    <t>https://www.youtube.com/watch?v=_hVvIXr7c-Y&amp;amp;list=PL-gPfnsMEiqntDgyagl3AszOF2-xFUa-x&amp;amp;index=27</t>
  </si>
  <si>
    <t>https://www.youtube.com/watch?v=2Nv7twtCqZo&amp;amp;list=PL-gPfnsMEiqntDgyagl3AszOF2-xFUa-x&amp;amp;index=28</t>
  </si>
  <si>
    <t>https://www.youtube.com/watch?v=GOh7FJU8xyM&amp;amp;list=PL-gPfnsMEiqntDgyagl3AszOF2-xFUa-x&amp;amp;index=29</t>
  </si>
  <si>
    <t>https://www.youtube.com/watch?v=40yyLrD1Nmc&amp;amp;list=PL-gPfnsMEiqntDgyagl3AszOF2-xFUa-x&amp;amp;index=30</t>
  </si>
  <si>
    <t>https://www.youtube.com/watch?v=ujh-Na2JHXE&amp;amp;list=PL-gPfnsMEiqntDgyagl3AszOF2-xFUa-x&amp;amp;index=31</t>
  </si>
  <si>
    <t>https://www.youtube.com/watch?v=yv8qDNk8N5k&amp;amp;list=PL-gPfnsMEiqntDgyagl3AszOF2-xFUa-x&amp;amp;index=32</t>
  </si>
  <si>
    <t>https://www.youtube.com/watch?v=4Nzz-Xv6Lrc&amp;amp;list=PL-gPfnsMEiqntDgyagl3AszOF2-xFUa-x&amp;amp;index=33</t>
  </si>
  <si>
    <t>https://www.youtube.com/watch?v=jTvz3rAsF-Y&amp;amp;list=PL-gPfnsMEiqntDgyagl3AszOF2-xFUa-x&amp;amp;index=34</t>
  </si>
  <si>
    <t>https://www.youtube.com/watch?v=6rxtK9uG55c&amp;amp;list=PL-gPfnsMEiqntDgyagl3AszOF2-xFUa-x&amp;amp;index=35</t>
  </si>
  <si>
    <t>https://www.youtube.com/watch?v=bC2N9tmMAIY&amp;amp;list=PL-gPfnsMEiqntDgyagl3AszOF2-xFUa-x&amp;amp;index=36</t>
  </si>
  <si>
    <t>https://www.youtube.com/watch?v=VtYKgApYZOs&amp;amp;list=PL-gPfnsMEiqntDgyagl3AszOF2-xFUa-x&amp;amp;index=37</t>
  </si>
  <si>
    <t>https://www.youtube.com/watch?v=lBbYN3mKVs8&amp;amp;list=PL-gPfnsMEiqntDgyagl3AszOF2-xFUa-x&amp;amp;index=38</t>
  </si>
  <si>
    <t>https://www.youtube.com/watch?v=PPR8yjV5Npo&amp;amp;list=PL-gPfnsMEiqntDgyagl3AszOF2-xFUa-x&amp;amp;index=39</t>
  </si>
  <si>
    <t>https://www.youtube.com/watch?v=f9ezeTQxf0Y&amp;amp;list=PL-gPfnsMEiqntDgyagl3AszOF2-xFUa-x&amp;amp;index=40</t>
  </si>
  <si>
    <t>https://www.youtube.com/watch?v=wxWLDrC6Unk&amp;amp;list=PL-gPfnsMEiqntDgyagl3AszOF2-xFUa-x&amp;amp;index=41</t>
  </si>
  <si>
    <t>https://www.youtube.com/watch?v=68jXFI29VLM&amp;amp;list=PL-gPfnsMEiqntDgyagl3AszOF2-xFUa-x&amp;amp;index=42</t>
  </si>
  <si>
    <t>https://www.youtube.com/watch?v=TZx-dXe5PSk&amp;amp;list=PL-gPfnsMEiqntDgyagl3AszOF2-xFUa-x&amp;amp;index=43</t>
  </si>
  <si>
    <t>https://www.youtube.com/watch?v=94t_OMFam3Q&amp;amp;list=PL-gPfnsMEiqntDgyagl3AszOF2-xFUa-x&amp;amp;index=44</t>
  </si>
  <si>
    <t>https://www.youtube.com/watch?v=ainjbPq6qkk&amp;amp;list=PL-gPfnsMEiqntDgyagl3AszOF2-xFUa-x&amp;amp;index=45</t>
  </si>
  <si>
    <t>https://www.youtube.com/watch?v=CFNCqax4MeI&amp;amp;list=PL-gPfnsMEiqntDgyagl3AszOF2-xFUa-x&amp;amp;index=46</t>
  </si>
  <si>
    <t>https://www.youtube.com/watch?v=9cS6NBPqB3g&amp;amp;list=PL-gPfnsMEiqntDgyagl3AszOF2-xFUa-x&amp;amp;index=47</t>
  </si>
  <si>
    <t>https://www.youtube.com/watch?v=vQ3zumYfM7M&amp;amp;list=PL-gPfnsMEiqntDgyagl3AszOF2-xFUa-x&amp;amp;index=48</t>
  </si>
  <si>
    <t>https://www.youtube.com/watch?v=CGuvCNwesj0&amp;amp;list=PL-gPfnsMEiqntDgyagl3AszOF2-xFUa-x&amp;amp;index=49</t>
  </si>
  <si>
    <t>https://www.youtube.com/watch?v=u6qfDJ8g-nY&amp;amp;list=PL-gPfnsMEiqntDgyagl3AszOF2-xFUa-x&amp;amp;index=50</t>
  </si>
  <si>
    <t>https://www.youtube.com/watch?v=CnRY12oloUY&amp;amp;list=PL-gPfnsMEiqntDgyagl3AszOF2-xFUa-x&amp;amp;index=51</t>
  </si>
  <si>
    <t>https://www.youtube.com/watch?v=-8kq4-1iCDo&amp;amp;list=PL-gPfnsMEiqntDgyagl3AszOF2-xFUa-x&amp;amp;index=52</t>
  </si>
  <si>
    <t>https://www.youtube.com/watch?v=GbZHfCZFYxQ&amp;amp;list=PL-gPfnsMEiqntDgyagl3AszOF2-xFUa-x&amp;amp;index=53</t>
  </si>
  <si>
    <t>https://www.youtube.com/watch?v=K3inpot2l-g&amp;amp;list=PL-gPfnsMEiqntDgyagl3AszOF2-xFUa-x&amp;amp;index=54</t>
  </si>
  <si>
    <t>https://www.youtube.com/watch?v=Z-2dkdulckQ&amp;amp;list=PL-gPfnsMEiqntDgyagl3AszOF2-xFUa-x&amp;amp;index=55</t>
  </si>
  <si>
    <t>https://www.youtube.com/watch?v=62QyMjml7FI&amp;amp;list=PL-gPfnsMEiqntDgyagl3AszOF2-xFUa-x&amp;amp;index=56</t>
  </si>
  <si>
    <t>https://www.youtube.com/watch?v=94ShAKZmXmk&amp;amp;list=PL-gPfnsMEiqntDgyagl3AszOF2-xFUa-x&amp;amp;index=57</t>
  </si>
  <si>
    <t>https://www.youtube.com/watch?v=EQlrIQK2zFs&amp;amp;list=PL-gPfnsMEiqntDgyagl3AszOF2-xFUa-x&amp;amp;index=58</t>
  </si>
  <si>
    <t>https://www.youtube.com/watch?v=P2weuseMNMo&amp;amp;list=PL-gPfnsMEiqntDgyagl3AszOF2-xFUa-x&amp;amp;index=59</t>
  </si>
  <si>
    <t>https://www.youtube.com/watch?v=XaMKm3JfP3k&amp;amp;list=PL-gPfnsMEiqntDgyagl3AszOF2-xFUa-x&amp;amp;index=60</t>
  </si>
  <si>
    <t>https://www.youtube.com/watch?v=ByzirYbuypU&amp;amp;list=PL-gPfnsMEiqntDgyagl3AszOF2-xFUa-x&amp;amp;index=61</t>
  </si>
  <si>
    <t>https://www.youtube.com/watch?v=whIOhrodAmQ&amp;amp;list=PL-gPfnsMEiqntDgyagl3AszOF2-xFUa-x&amp;amp;index=62</t>
  </si>
  <si>
    <t>https://www.youtube.com/watch?v=u_riVU5RfFg&amp;amp;list=PL-gPfnsMEiqntDgyagl3AszOF2-xFUa-x&amp;amp;index=63</t>
  </si>
  <si>
    <t>https://www.youtube.com/watch?v=Nm0L6NI0rJ4&amp;amp;list=PL-gPfnsMEiqntDgyagl3AszOF2-xFUa-x&amp;amp;index=64</t>
  </si>
  <si>
    <t>https://www.youtube.com/watch?v=BDORMLjSR0M&amp;amp;list=PL-gPfnsMEiqntDgyagl3AszOF2-xFUa-x&amp;amp;index=65</t>
  </si>
  <si>
    <t>Describe Spring configuration</t>
  </si>
  <si>
    <t>Describe Spring project</t>
  </si>
  <si>
    <t>What is XML configuration</t>
  </si>
  <si>
    <t>Provide knowledge of resource in maven project</t>
  </si>
  <si>
    <t>Simulate is XML configuration</t>
  </si>
  <si>
    <t>Equip knowledge of bean configuration file</t>
  </si>
  <si>
    <t>Simulate how to use bean</t>
  </si>
  <si>
    <t>What is setter injection</t>
  </si>
  <si>
    <t>Describe constructor injection</t>
  </si>
  <si>
    <t>What is autowired</t>
  </si>
  <si>
    <t>Simulate how to use autowired with constructor</t>
  </si>
  <si>
    <t>What is autowrired with type and name</t>
  </si>
  <si>
    <t>Equip knowledge of XML configuration summary</t>
  </si>
  <si>
    <t>Explain theory of annotation configuration</t>
  </si>
  <si>
    <t>What is annotation configuration</t>
  </si>
  <si>
    <t>Describe preparation</t>
  </si>
  <si>
    <t>What is context schema</t>
  </si>
  <si>
    <t>Provide knowledge of annotation config and annotation scan</t>
  </si>
  <si>
    <t>Simulate annotation config and annotation scan</t>
  </si>
  <si>
    <t>Equip knowledge of stereotype annotation</t>
  </si>
  <si>
    <t>Simulate how to use stereotype annotation</t>
  </si>
  <si>
    <t>Simulate how to use @Autowired with setter</t>
  </si>
  <si>
    <t>Simulate how to use @Autowired with member variable</t>
  </si>
  <si>
    <t>Simulate how to use @Autowired with constructor</t>
  </si>
  <si>
    <t>Provide knowledge of Annotation configuration summary</t>
  </si>
  <si>
    <t>Explain theory of preparation</t>
  </si>
  <si>
    <t>What is java based configuration</t>
  </si>
  <si>
    <t>What is application config class</t>
  </si>
  <si>
    <t>Describe annotation</t>
  </si>
  <si>
    <t>Simulate how to use application config class</t>
  </si>
  <si>
    <t>Provide knowledge of @Bean</t>
  </si>
  <si>
    <t>Simulate how to use injdection</t>
  </si>
  <si>
    <t>Simulate how to use autowried</t>
  </si>
  <si>
    <t>Explain theory of java based configuration summary</t>
  </si>
  <si>
    <t>What is Bean scopes</t>
  </si>
  <si>
    <t>Describe Singleon beans</t>
  </si>
  <si>
    <t>What is prototype beans</t>
  </si>
  <si>
    <t>Provide knowledge of entire course</t>
  </si>
  <si>
    <t>What is Spring</t>
  </si>
  <si>
    <t>Equip knowledge of Spring framework</t>
  </si>
  <si>
    <t>What is Spring history</t>
  </si>
  <si>
    <t>What is advantages of Spring</t>
  </si>
  <si>
    <t>Describe spring products</t>
  </si>
  <si>
    <t>Provide knowledge of Spring core</t>
  </si>
  <si>
    <t>What is Spring data</t>
  </si>
  <si>
    <t>Equip knowledge of Spring MVC</t>
  </si>
  <si>
    <t>Explain theory of Spring security</t>
  </si>
  <si>
    <t>What is Spring boot</t>
  </si>
  <si>
    <t>Describe prerequistes</t>
  </si>
  <si>
    <t>What is Spring environments</t>
  </si>
  <si>
    <t>Describe IDEs</t>
  </si>
  <si>
    <t>Describe Spring tool suite</t>
  </si>
  <si>
    <t>What is summary of Spring</t>
  </si>
  <si>
    <t>Describe Spring core</t>
  </si>
  <si>
    <t>Explain theory of Spring core framework</t>
  </si>
  <si>
    <t>Simulate sample spring application</t>
  </si>
  <si>
    <t>Equip knowledge of constructor drawbacks</t>
  </si>
  <si>
    <t>19 Data Access Layer</t>
  </si>
  <si>
    <t>20 Spring Data JPA</t>
  </si>
  <si>
    <t>21 Spring Data JPA Installation</t>
  </si>
  <si>
    <t>22 Spring Data JPA Configuration</t>
  </si>
  <si>
    <t>23 StudentService</t>
  </si>
  <si>
    <t>24 JpaRepository</t>
  </si>
  <si>
    <t>25 Query Methods</t>
  </si>
  <si>
    <t>26 @Query</t>
  </si>
  <si>
    <t>27 CrudRepository</t>
  </si>
  <si>
    <t>28 Summary</t>
  </si>
  <si>
    <t>2 Prerequisites</t>
  </si>
  <si>
    <t>3 MVC Pattern</t>
  </si>
  <si>
    <t>4 Front Controller</t>
  </si>
  <si>
    <t>5 Web Service</t>
  </si>
  <si>
    <t>6 Spring MVC</t>
  </si>
  <si>
    <t>7 Installation</t>
  </si>
  <si>
    <t>8 Create a Project</t>
  </si>
  <si>
    <t>9 MVC Web Application Intro</t>
  </si>
  <si>
    <t>10 Dependencies</t>
  </si>
  <si>
    <t>11 Configuration</t>
  </si>
  <si>
    <t>12 index jsp</t>
  </si>
  <si>
    <t>13 Model and Controller</t>
  </si>
  <si>
    <t>14 login jsp</t>
  </si>
  <si>
    <t>15 login Controller</t>
  </si>
  <si>
    <t>16 ModelAndView and String in Controller</t>
  </si>
  <si>
    <t>17 Service and Repository</t>
  </si>
  <si>
    <t>18 Login Service</t>
  </si>
  <si>
    <t>19 Redirect</t>
  </si>
  <si>
    <t>20 register jsp</t>
  </si>
  <si>
    <t>21 Register Controller</t>
  </si>
  <si>
    <t>22 Add Spring JPA</t>
  </si>
  <si>
    <t>23 JPA Configuration</t>
  </si>
  <si>
    <t>24 Update Repository</t>
  </si>
  <si>
    <t>25 MVC Web Application Summary</t>
  </si>
  <si>
    <t>What is Data Access Layer</t>
  </si>
  <si>
    <t>Equip knowledge of Spring Data JPA</t>
  </si>
  <si>
    <t xml:space="preserve">Describe how to install spring data JPA </t>
  </si>
  <si>
    <t>What is Spring Data JPA configuration</t>
  </si>
  <si>
    <t xml:space="preserve">Simulate how to use Spring Data JPA </t>
  </si>
  <si>
    <t>What is JpaRepository</t>
  </si>
  <si>
    <t>Provide knowledge of query methods</t>
  </si>
  <si>
    <t>What is @Query</t>
  </si>
  <si>
    <t>Equip knowledge of CRUD Repository</t>
  </si>
  <si>
    <t>What is prerequisites</t>
  </si>
  <si>
    <t>Provide knowledge of MVC Pattern</t>
  </si>
  <si>
    <t>What is Front Controller</t>
  </si>
  <si>
    <t>Equip knowledge of Web Service</t>
  </si>
  <si>
    <t>Explain theory of Spring MVC</t>
  </si>
  <si>
    <t>Describe how to install spring MVC</t>
  </si>
  <si>
    <t>Describe how to create Spring MVC project</t>
  </si>
  <si>
    <t>What is MVC Web Application</t>
  </si>
  <si>
    <t>Provide knowledge of dependencies</t>
  </si>
  <si>
    <t>What is configuration</t>
  </si>
  <si>
    <t>Equip knowledge of index jsp</t>
  </si>
  <si>
    <t>Explain theory of Model and Cotroller</t>
  </si>
  <si>
    <t>Simulate how to create login screen</t>
  </si>
  <si>
    <t xml:space="preserve">Simulate how to create login controller </t>
  </si>
  <si>
    <t>Simulate how to use ModelAndView and String in controller</t>
  </si>
  <si>
    <t>Provide knowledge of Service and Repository</t>
  </si>
  <si>
    <t>Simulate how to create login service</t>
  </si>
  <si>
    <t>Equip knowledge of Redirect</t>
  </si>
  <si>
    <t>Simulate how to create register view</t>
  </si>
  <si>
    <t>Simulate how to create register controller</t>
  </si>
  <si>
    <t>Simulate how to add spring JPA to project</t>
  </si>
  <si>
    <t>Simulate how to config spring JPA for project</t>
  </si>
  <si>
    <t xml:space="preserve">Simulate how to update repository </t>
  </si>
  <si>
    <t>https://www.youtube.com/watch?v=MdCPgdHepHU&amp;amp;list=PL-gPfnsMEiqmblUW6pC_49BdkrvbTflmY&amp;amp;index=1</t>
  </si>
  <si>
    <t>https://www.youtube.com/watch?v=dp2_UEfE5U0&amp;amp;list=PL-gPfnsMEiqmblUW6pC_49BdkrvbTflmY&amp;amp;index=2</t>
  </si>
  <si>
    <t>https://www.youtube.com/watch?v=5DN0EslY9PM&amp;amp;list=PL-gPfnsMEiqmblUW6pC_49BdkrvbTflmY&amp;amp;index=3</t>
  </si>
  <si>
    <t>https://www.youtube.com/watch?v=1F4GP5VOFb0&amp;amp;list=PL-gPfnsMEiqmblUW6pC_49BdkrvbTflmY&amp;amp;index=4</t>
  </si>
  <si>
    <t>https://www.youtube.com/watch?v=ADrhcq1bdm8&amp;amp;list=PL-gPfnsMEiqmblUW6pC_49BdkrvbTflmY&amp;amp;index=5</t>
  </si>
  <si>
    <t>https://www.youtube.com/watch?v=qpGahTm0iOI&amp;amp;list=PL-gPfnsMEiqmblUW6pC_49BdkrvbTflmY&amp;amp;index=6</t>
  </si>
  <si>
    <t>https://www.youtube.com/watch?v=gty3GK7LDGg&amp;amp;list=PL-gPfnsMEiqmblUW6pC_49BdkrvbTflmY&amp;amp;index=7</t>
  </si>
  <si>
    <t>https://www.youtube.com/watch?v=Vam862fD1nQ&amp;amp;list=PL-gPfnsMEiqmblUW6pC_49BdkrvbTflmY&amp;amp;index=8</t>
  </si>
  <si>
    <t>https://www.youtube.com/watch?v=bnsei0wrBE8&amp;amp;list=PL-gPfnsMEiqmblUW6pC_49BdkrvbTflmY&amp;amp;index=9</t>
  </si>
  <si>
    <t>https://www.youtube.com/watch?v=D_3nR-P4jtQ&amp;amp;list=PL-gPfnsMEiqmblUW6pC_49BdkrvbTflmY&amp;amp;index=10</t>
  </si>
  <si>
    <t>https://www.youtube.com/watch?v=NtJkhRCboEE&amp;amp;list=PL-gPfnsMEiqmblUW6pC_49BdkrvbTflmY&amp;amp;index=11</t>
  </si>
  <si>
    <t>https://www.youtube.com/watch?v=CPIJIHs3clY&amp;amp;list=PL-gPfnsMEiqmblUW6pC_49BdkrvbTflmY&amp;amp;index=12</t>
  </si>
  <si>
    <t>https://www.youtube.com/watch?v=7rNf2d1uLgc&amp;amp;list=PL-gPfnsMEiqmblUW6pC_49BdkrvbTflmY&amp;amp;index=13</t>
  </si>
  <si>
    <t>https://www.youtube.com/watch?v=gcWdG2junNc&amp;amp;list=PL-gPfnsMEiqmblUW6pC_49BdkrvbTflmY&amp;amp;index=14</t>
  </si>
  <si>
    <t>https://www.youtube.com/watch?v=1Ia9c3iQBLY&amp;amp;list=PL-gPfnsMEiqmblUW6pC_49BdkrvbTflmY&amp;amp;index=15</t>
  </si>
  <si>
    <t>https://www.youtube.com/watch?v=LZPeF0-vD7A&amp;amp;list=PL-gPfnsMEiqmblUW6pC_49BdkrvbTflmY&amp;amp;index=16</t>
  </si>
  <si>
    <t>https://www.youtube.com/watch?v=8C70APA__Kw&amp;amp;list=PL-gPfnsMEiqmblUW6pC_49BdkrvbTflmY&amp;amp;index=17</t>
  </si>
  <si>
    <t>https://www.youtube.com/watch?v=Vho-90h3SRI&amp;amp;list=PL-gPfnsMEiqmblUW6pC_49BdkrvbTflmY&amp;amp;index=18</t>
  </si>
  <si>
    <t>https://www.youtube.com/watch?v=4O68PE2nynY&amp;amp;list=PL-gPfnsMEiqmblUW6pC_49BdkrvbTflmY&amp;amp;index=19</t>
  </si>
  <si>
    <t>https://www.youtube.com/watch?v=B_rCTWzeWNg&amp;amp;list=PL-gPfnsMEiqmblUW6pC_49BdkrvbTflmY&amp;amp;index=20</t>
  </si>
  <si>
    <t>https://www.youtube.com/watch?v=tgS1Kzdg98k&amp;amp;list=PL-gPfnsMEiqmblUW6pC_49BdkrvbTflmY&amp;amp;index=21</t>
  </si>
  <si>
    <t>https://www.youtube.com/watch?v=V3Z_LMmXtMU&amp;amp;list=PL-gPfnsMEiqmblUW6pC_49BdkrvbTflmY&amp;amp;index=22</t>
  </si>
  <si>
    <t>https://www.youtube.com/watch?v=1sONSbZNwbo&amp;amp;list=PL-gPfnsMEiqmblUW6pC_49BdkrvbTflmY&amp;amp;index=23</t>
  </si>
  <si>
    <t>https://www.youtube.com/watch?v=Bc8gzU3Al2s&amp;amp;list=PL-gPfnsMEiqmblUW6pC_49BdkrvbTflmY&amp;amp;index=24</t>
  </si>
  <si>
    <t>https://www.youtube.com/watch?v=x04VjW8OIc4&amp;amp;list=PL-gPfnsMEiqmblUW6pC_49BdkrvbTflmY&amp;amp;index=25</t>
  </si>
  <si>
    <t>https://www.youtube.com/watch?v=lCLzpZoeIjM&amp;amp;list=PL-gPfnsMEiqkfaK9k9HX7Dgwcn3doszR2&amp;amp;index=19</t>
  </si>
  <si>
    <t>https://www.youtube.com/watch?v=NknpDEN4Fo0&amp;amp;list=PL-gPfnsMEiqkfaK9k9HX7Dgwcn3doszR2&amp;amp;index=20</t>
  </si>
  <si>
    <t>https://www.youtube.com/watch?v=zhkfi0koQFo&amp;amp;list=PL-gPfnsMEiqkfaK9k9HX7Dgwcn3doszR2&amp;amp;index=21</t>
  </si>
  <si>
    <t>https://www.youtube.com/watch?v=BwtW33WQHfA&amp;amp;list=PL-gPfnsMEiqkfaK9k9HX7Dgwcn3doszR2&amp;amp;index=22</t>
  </si>
  <si>
    <t>https://www.youtube.com/watch?v=l-jLksD3hnE&amp;amp;list=PL-gPfnsMEiqkfaK9k9HX7Dgwcn3doszR2&amp;amp;index=23</t>
  </si>
  <si>
    <t>https://www.youtube.com/watch?v=XkPBEF9mpvY&amp;amp;list=PL-gPfnsMEiqkfaK9k9HX7Dgwcn3doszR2&amp;amp;index=24</t>
  </si>
  <si>
    <t>https://www.youtube.com/watch?v=EivMcpTmkN8&amp;amp;list=PL-gPfnsMEiqkfaK9k9HX7Dgwcn3doszR2&amp;amp;index=25</t>
  </si>
  <si>
    <t>https://www.youtube.com/watch?v=dj1Q_4aGsW0&amp;amp;list=PL-gPfnsMEiqkfaK9k9HX7Dgwcn3doszR2&amp;amp;index=26</t>
  </si>
  <si>
    <t>https://www.youtube.com/watch?v=IG-QaFBqPX8&amp;amp;list=PL-gPfnsMEiqkfaK9k9HX7Dgwcn3doszR2&amp;amp;index=27</t>
  </si>
  <si>
    <t>https://www.youtube.com/watch?v=U5lFdpZTxXg&amp;amp;list=PL-gPfnsMEiqkfaK9k9HX7Dgwcn3doszR2&amp;amp;index=28</t>
  </si>
  <si>
    <t>Day</t>
  </si>
  <si>
    <t>Describe use java configuration instead xml configuration</t>
  </si>
  <si>
    <t>Day 1</t>
  </si>
  <si>
    <t>Day 2</t>
  </si>
  <si>
    <t>Day 3</t>
  </si>
  <si>
    <t>Spring Data JPA</t>
  </si>
  <si>
    <t>Day 5</t>
  </si>
  <si>
    <t>Day 6</t>
  </si>
  <si>
    <t>Spring MVC</t>
  </si>
  <si>
    <t>https://www.youtube.com/watch?v=TI6YwO0BhT8&amp;amp;list=PL-gPfnsMEiqkfaK9k9HX7Dgwcn3doszR2&amp;amp;index=1</t>
  </si>
  <si>
    <t>https://www.youtube.com/watch?v=5uBkNPBaF2A&amp;amp;list=PL-gPfnsMEiqkfaK9k9HX7Dgwcn3doszR2&amp;amp;index=2</t>
  </si>
  <si>
    <t>https://www.youtube.com/watch?v=GngOoynOuAU&amp;amp;list=PL-gPfnsMEiqkfaK9k9HX7Dgwcn3doszR2&amp;amp;index=3</t>
  </si>
  <si>
    <t>https://www.youtube.com/watch?v=Jzj9ES9Nun4&amp;amp;list=PL-gPfnsMEiqkfaK9k9HX7Dgwcn3doszR2&amp;amp;index=4</t>
  </si>
  <si>
    <t>https://www.youtube.com/watch?v=h1BgTx_z59Y&amp;amp;list=PL-gPfnsMEiqkfaK9k9HX7Dgwcn3doszR2&amp;amp;index=5</t>
  </si>
  <si>
    <t>https://www.youtube.com/watch?v=49ax07GgVNc&amp;amp;list=PL-gPfnsMEiqkfaK9k9HX7Dgwcn3doszR2&amp;amp;index=6</t>
  </si>
  <si>
    <t>https://www.youtube.com/watch?v=eThTCMiSonU&amp;amp;list=PL-gPfnsMEiqkfaK9k9HX7Dgwcn3doszR2&amp;amp;index=7</t>
  </si>
  <si>
    <t>https://www.youtube.com/watch?v=ohZwrESb65c&amp;amp;list=PL-gPfnsMEiqkfaK9k9HX7Dgwcn3doszR2&amp;amp;index=8</t>
  </si>
  <si>
    <t>https://www.youtube.com/watch?v=Vsb9qkYQEIc&amp;amp;list=PL-gPfnsMEiqkfaK9k9HX7Dgwcn3doszR2&amp;amp;index=9</t>
  </si>
  <si>
    <t>https://www.youtube.com/watch?v=gwngsy12vL0&amp;amp;list=PL-gPfnsMEiqkfaK9k9HX7Dgwcn3doszR2&amp;amp;index=10</t>
  </si>
  <si>
    <t>https://www.youtube.com/watch?v=8tfgOXdNOp0&amp;amp;list=PL-gPfnsMEiqkfaK9k9HX7Dgwcn3doszR2&amp;amp;index=11</t>
  </si>
  <si>
    <t>https://www.youtube.com/watch?v=A5ful_p6DlU&amp;amp;list=PL-gPfnsMEiqkfaK9k9HX7Dgwcn3doszR2&amp;amp;index=12</t>
  </si>
  <si>
    <t>https://www.youtube.com/watch?v=CFEdBiWeRmo&amp;amp;list=PL-gPfnsMEiqkfaK9k9HX7Dgwcn3doszR2&amp;amp;index=13</t>
  </si>
  <si>
    <t>https://www.youtube.com/watch?v=xlO6EhZU-UE&amp;amp;list=PL-gPfnsMEiqkfaK9k9HX7Dgwcn3doszR2&amp;amp;index=14</t>
  </si>
  <si>
    <t>https://www.youtube.com/watch?v=C524PHTlukQ&amp;amp;list=PL-gPfnsMEiqkfaK9k9HX7Dgwcn3doszR2&amp;amp;index=15</t>
  </si>
  <si>
    <t>https://www.youtube.com/watch?v=kUQCyrsyuhY&amp;amp;list=PL-gPfnsMEiqkfaK9k9HX7Dgwcn3doszR2&amp;amp;index=16</t>
  </si>
  <si>
    <t>https://www.youtube.com/watch?v=ySNssBbhp4o&amp;amp;list=PL-gPfnsMEiqkfaK9k9HX7Dgwcn3doszR2&amp;amp;index=17</t>
  </si>
  <si>
    <t>https://www.youtube.com/watch?v=fuDX0VQ81ZM&amp;amp;list=PL-gPfnsMEiqkfaK9k9HX7Dgwcn3doszR2&amp;amp;index=18</t>
  </si>
  <si>
    <t>3 Environments</t>
  </si>
  <si>
    <t>4 Preparation</t>
  </si>
  <si>
    <t>5 JDBC Connection Lab</t>
  </si>
  <si>
    <t>6 JDBC Insertion Lab</t>
  </si>
  <si>
    <t>7 JDBC Selection Lab</t>
  </si>
  <si>
    <t>8 Improve JDBC Code</t>
  </si>
  <si>
    <t>9 DataSource</t>
  </si>
  <si>
    <t>10 JdbcTemplate Lab</t>
  </si>
  <si>
    <t>11 JdbcTemplate Deletion Lab</t>
  </si>
  <si>
    <t>12 JdbcTemplate queryForObject</t>
  </si>
  <si>
    <t>13 JdbcTemplate RowMapper</t>
  </si>
  <si>
    <t>14 JdbcTemplate - getAll Lab</t>
  </si>
  <si>
    <t>15 JdbcDaoSupport</t>
  </si>
  <si>
    <t>Describe environment requirement</t>
  </si>
  <si>
    <t>Explain preparation</t>
  </si>
  <si>
    <t>Simulate how to use JDBC connection</t>
  </si>
  <si>
    <t>Simulate how to use JDBC insertion</t>
  </si>
  <si>
    <t>Simulate how to use JDBC selection</t>
  </si>
  <si>
    <t>Simulate how to improve JDBC code</t>
  </si>
  <si>
    <t>Describe dataource</t>
  </si>
  <si>
    <t>Simulate how to use JdbcTempate</t>
  </si>
  <si>
    <t>Simulate how to use JdbcTempate deletion</t>
  </si>
  <si>
    <t>Simulate how to use JdbcTempate queryForObject</t>
  </si>
  <si>
    <t>Simulate how to use JdbcTempate RowMapper</t>
  </si>
  <si>
    <t>Simulate how to use JdbcTempate getAll</t>
  </si>
  <si>
    <t>Describe JdbcDaoSupport</t>
  </si>
  <si>
    <t>Explain theory of add Hibernate's dependencies to Spring project</t>
  </si>
  <si>
    <t>What is Spring and Hibernate configuration</t>
  </si>
  <si>
    <t>Describe Spring and Hibernate DAO</t>
  </si>
  <si>
    <t>H1SD</t>
  </si>
  <si>
    <t>Thiết kế và xây dựng ứng dụng dựa trên ngôn ngữ lập trình và sử dụng API cơ bản</t>
  </si>
  <si>
    <t>Framework</t>
  </si>
  <si>
    <r>
      <t xml:space="preserve">Trainees’ PCs need to have following software installed &amp; run without any issues:
</t>
    </r>
    <r>
      <rPr>
        <i/>
        <sz val="10"/>
        <rFont val="Aarial"/>
      </rPr>
      <t xml:space="preserve">• Java version 8+
• Maven 3+
</t>
    </r>
    <r>
      <rPr>
        <sz val="10"/>
        <rFont val="Aarial"/>
      </rPr>
      <t>• IDE (Eclipse, IntelliJ, ...)
• Microsoft SQL Server 2008 Express or up (in which they create &amp; control on their DB)
• Microsoft Office 2007 (Visio, Word, Powerpoint)</t>
    </r>
  </si>
  <si>
    <t>Total topic GPA &gt;= 6/10
-----------------------------
Completed 100% Online video, Quiz, Assignments, Labs, Final Test</t>
  </si>
  <si>
    <r>
      <rPr>
        <sz val="10"/>
        <rFont val="Aarial"/>
      </rPr>
      <t>Qualified entry test and passed interview of Fresher program</t>
    </r>
    <r>
      <rPr>
        <i/>
        <sz val="10"/>
        <rFont val="Aarial"/>
      </rPr>
      <t xml:space="preserve">
</t>
    </r>
    <r>
      <rPr>
        <sz val="10"/>
        <rFont val="Aarial"/>
      </rPr>
      <t>Less than or equals 20 students in the class</t>
    </r>
  </si>
  <si>
    <t>Students pass the quick test
Trainer Audit: rank B</t>
  </si>
  <si>
    <t>Trainers can allow students to complete homework and submit the next day</t>
  </si>
  <si>
    <t>Book1: Spring In Action</t>
  </si>
  <si>
    <t>Book2: Spring Cookbook</t>
  </si>
  <si>
    <t>1. https://www.tutorialspoint.com/spring/</t>
  </si>
  <si>
    <t>2. https://www.journaldev.com/2888/spring-tutorial-spring-core-tutorial</t>
  </si>
  <si>
    <t>3. https://o7planning.org/en/10127/spring-tutorial-for-beginners</t>
  </si>
  <si>
    <t>- Trainer and mentor has a good knowledge of the Spring framework that has been evaluated by FA</t>
  </si>
  <si>
    <t>Online</t>
  </si>
  <si>
    <t>@ResponseBody and @RequestBody</t>
  </si>
  <si>
    <t>Offline</t>
  </si>
  <si>
    <t xml:space="preserve">Resource Bundle View Resolver </t>
  </si>
  <si>
    <r>
      <rPr>
        <b/>
        <i/>
        <sz val="10"/>
        <rFont val="Aarial"/>
      </rPr>
      <t>In details, after completing the course, trainees will:</t>
    </r>
    <r>
      <rPr>
        <i/>
        <sz val="10"/>
        <rFont val="Aarial"/>
      </rPr>
      <t xml:space="preserve">
• Learn main characteristics of Spring framework and its components
• Build and configure an application using Dependency Injection
• Learn basic concepts of beans, POJO
• Know how to configure spring project with xml, annotation, java base
• Learn JDBC Templates to connect database in spring
• Know how to use JPA for object-relational mapping
• Know how to creating query methods with property expressions and @Query 
• Understand the Spring MVC framework architecture
• Understand an be able to use the various API elements and annotations to create controllers
• Understand and be able to use the different mechanisms available to do conversions and validations in your web applications</t>
    </r>
  </si>
  <si>
    <t>Spring with Hibernate - Dependencies</t>
  </si>
  <si>
    <t>Spring with Hibernate - Configuration</t>
  </si>
  <si>
    <t>Spring with Hibernate - DAO</t>
  </si>
  <si>
    <t>Trainees are the freshers who are software developers (SD).</t>
  </si>
  <si>
    <r>
      <rPr>
        <i/>
        <sz val="10"/>
        <rFont val="Aarial"/>
      </rPr>
      <t>This topic is to introduce about Spring framework; adapt trainees with skills, lessons and practices which is specifically used in the Fsoft projects.</t>
    </r>
    <r>
      <rPr>
        <sz val="10"/>
        <rFont val="Aarial"/>
      </rPr>
      <t xml:space="preserve">
</t>
    </r>
    <r>
      <rPr>
        <b/>
        <i/>
        <sz val="10"/>
        <rFont val="Aarial"/>
      </rPr>
      <t>The topic cover following output standards</t>
    </r>
  </si>
  <si>
    <t>Concepts, theory</t>
  </si>
  <si>
    <t>Assignment, Lab</t>
  </si>
  <si>
    <t>Quiz, assignment review
Assignment guides</t>
  </si>
  <si>
    <t>Daily quiz</t>
  </si>
  <si>
    <t>Pre-Test, Final Topic Test</t>
  </si>
  <si>
    <t>Equip knowledge of RequestBody and ResponseBody</t>
  </si>
  <si>
    <t>v4.0</t>
  </si>
  <si>
    <t>JSFW</t>
  </si>
  <si>
    <t>Workshop</t>
  </si>
  <si>
    <t>Workshop 1</t>
  </si>
  <si>
    <t>Lecture1.1_Lecture Notes for Spring core</t>
  </si>
  <si>
    <t>Quiz 1</t>
  </si>
  <si>
    <t>Practice time: Assignment 1</t>
  </si>
  <si>
    <t>Quiz 2</t>
  </si>
  <si>
    <t>Workshop 2</t>
  </si>
  <si>
    <t>Lecture2.1_Lecture Notes for Spring Data JPA</t>
  </si>
  <si>
    <t>Qui 3</t>
  </si>
  <si>
    <t>Workshop 3</t>
  </si>
  <si>
    <t>Practice time: Assignment 2</t>
  </si>
  <si>
    <t>Quiz 4</t>
  </si>
  <si>
    <t>Topic revision</t>
  </si>
  <si>
    <t>Học viên ôn tập trước khi có bài final test, Trainer chữa bài</t>
  </si>
  <si>
    <t>Topic Exam</t>
  </si>
  <si>
    <t>Theory Part</t>
  </si>
  <si>
    <t>Test: 40 Questions/60 minutes</t>
  </si>
  <si>
    <t>Practice Part</t>
  </si>
  <si>
    <t>Nguyễn Anh Tuấn</t>
  </si>
  <si>
    <t>TuanNA34</t>
  </si>
  <si>
    <t>TOD.FA</t>
  </si>
  <si>
    <t>Nguyễn Thị Điệu</t>
  </si>
  <si>
    <t>DieuNT1</t>
  </si>
  <si>
    <t>Nguyễn Văn Vinh</t>
  </si>
  <si>
    <t>VinhNV</t>
  </si>
  <si>
    <t>FHO.FA</t>
  </si>
  <si>
    <t>A</t>
  </si>
  <si>
    <t>Create</t>
  </si>
  <si>
    <t>3.1</t>
  </si>
  <si>
    <t>Update Course Objectives
Assessment Scheme: 15 % Daily Quiz, 15% Assignment, 70% FinalTest</t>
  </si>
  <si>
    <t>M</t>
  </si>
  <si>
    <t>Update</t>
  </si>
  <si>
    <t>3.2</t>
  </si>
  <si>
    <t>3.3</t>
  </si>
  <si>
    <t>Release for review</t>
  </si>
  <si>
    <t>3.7</t>
  </si>
  <si>
    <t>Update: Final Assessment</t>
  </si>
  <si>
    <t>Update review comments</t>
  </si>
  <si>
    <t>Release for approve</t>
  </si>
  <si>
    <t>3.9</t>
  </si>
  <si>
    <t>Approve</t>
  </si>
  <si>
    <t>4.0</t>
  </si>
  <si>
    <t>Create a new syllabus: Spring framework Syllabus, Spring framework Schedule</t>
  </si>
  <si>
    <t>Add Quiz</t>
  </si>
  <si>
    <t>Software Architecture</t>
  </si>
  <si>
    <t>K6SD</t>
  </si>
  <si>
    <t>Có hiểu biết về các kiến trúc phần mềm: Client-Server, MVC</t>
  </si>
  <si>
    <r>
      <rPr>
        <b/>
        <i/>
        <sz val="10"/>
        <rFont val="Aarial"/>
      </rPr>
      <t xml:space="preserve">Day 1: </t>
    </r>
    <r>
      <rPr>
        <i/>
        <sz val="10"/>
        <rFont val="Aarial"/>
      </rPr>
      <t xml:space="preserve">
Unit 1: Spring core
1. Introduction to the Spring Framework
2. The Inversion of Control (IoC) container  
3.XML Configuration 
</t>
    </r>
    <r>
      <rPr>
        <b/>
        <i/>
        <sz val="10"/>
        <rFont val="Aarial"/>
      </rPr>
      <t>Day 2:</t>
    </r>
    <r>
      <rPr>
        <i/>
        <sz val="10"/>
        <rFont val="Aarial"/>
      </rPr>
      <t xml:space="preserve">
Unit 1: Spring core
4.Annotation Configuration
5.Java base Configuration
6.Beans
</t>
    </r>
    <r>
      <rPr>
        <b/>
        <i/>
        <sz val="10"/>
        <rFont val="Aarial"/>
      </rPr>
      <t>Day 3:</t>
    </r>
    <r>
      <rPr>
        <i/>
        <sz val="10"/>
        <rFont val="Aarial"/>
      </rPr>
      <t xml:space="preserve">
Unit 2: Spring Data JPA
1.JDBC
2.JdbcTemplate
3.JdbcDaoSupport
4.Spring and Hibernate intergration
5.Spring Data JPA
</t>
    </r>
    <r>
      <rPr>
        <b/>
        <i/>
        <sz val="10"/>
        <rFont val="Aarial"/>
      </rPr>
      <t>Day 4:</t>
    </r>
    <r>
      <rPr>
        <i/>
        <sz val="10"/>
        <rFont val="Aarial"/>
      </rPr>
      <t xml:space="preserve">
Unit 3: Spring MVC
1.MVC Pattern
2.Spring MVC installation
3.Create MVC web application (Model, View and Controller)
</t>
    </r>
    <r>
      <rPr>
        <b/>
        <i/>
        <sz val="10"/>
        <rFont val="Aarial"/>
      </rPr>
      <t>Day 5:</t>
    </r>
    <r>
      <rPr>
        <i/>
        <sz val="10"/>
        <rFont val="Aarial"/>
      </rPr>
      <t xml:space="preserve">
Unit 3: Spring MVC
4.Create MVC web application (Service and Repository)
5.Redirect
6.Spring JPA intergration
</t>
    </r>
    <r>
      <rPr>
        <b/>
        <i/>
        <sz val="10"/>
        <rFont val="Aarial"/>
      </rPr>
      <t xml:space="preserve">Day 6:
</t>
    </r>
    <r>
      <rPr>
        <i/>
        <sz val="10"/>
        <rFont val="Aarial"/>
      </rPr>
      <t>Final test</t>
    </r>
  </si>
  <si>
    <t>70% 
---------------------------
60% practice (to do in 3.0 h)
40% theory (to do in 1.0 h)</t>
  </si>
  <si>
    <t>Spring Framework - Syllabus</t>
  </si>
  <si>
    <t>Giảng viên chọn một trong các options sau:
JSFW.M.A10x</t>
  </si>
  <si>
    <t>Day 3,4</t>
  </si>
  <si>
    <t>- Giảng viên chọn một trong các options sau: JSFW.L.A10x</t>
  </si>
  <si>
    <t>Học viên hoàn thành và submit toàn bộ Assignment 2</t>
  </si>
  <si>
    <t>- Trainer marks the Assignments, Final Exam Practice, Final Test Theory. In case trainees have to retake the exam, the mark point is calculated as follows:
- If the test score &gt; = 6, take point 6
- If the test score &lt; 6, take that score</t>
  </si>
  <si>
    <t>Only allow each student to retake the test up to 2 times; Re-exam the same structure as the first Test</t>
  </si>
  <si>
    <t>15% (Grade 1 project assignment, Review 1 assignment)</t>
  </si>
  <si>
    <t>Java Specific Framework (Spring framework)</t>
  </si>
  <si>
    <t>Java Specific Framework (Spring framework) - Training Schedule</t>
  </si>
  <si>
    <t>10-20 Question/15-30 minutes</t>
  </si>
  <si>
    <t>Chọn 1 trong các options: JSFW.Practice.T01, JSFW.Practice.T02, …</t>
  </si>
  <si>
    <t>- Trainee who actively complete online learning according to MOOC links provided
- At the end of the day, students complete Daily Quiz for 15-30 minutes or/and Lab/Assignment
- Trainer/Mentor supports answering questions, guiding exercises 1.5-2.0h/day
- Trainer conduct the workshops
- Trainees complete 2 Assignments, 4 Quizzes
- Trainees have 1 final test in 4 hours (1 hour theory + 3 hours of practice)</t>
  </si>
  <si>
    <t>6.0 days</t>
  </si>
  <si>
    <t>15% (4 quizzes, to do in 15-30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</si>
</sst>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d\-mmm\-yyyy;@"/>
    <numFmt numFmtId="166" formatCode="0.0%"/>
  </numFmts>
  <fonts count="18"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0"/>
      <name val="Aarial"/>
    </font>
    <font>
      <sz val="10"/>
      <name val="Aarial"/>
    </font>
    <font>
      <i/>
      <sz val="10"/>
      <name val="Aarial"/>
    </font>
    <font>
      <b/>
      <i/>
      <sz val="10"/>
      <name val="A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 tint="4.9989318521683403E-2"/>
      <name val="Arial"/>
      <family val="2"/>
    </font>
    <font>
      <b/>
      <sz val="18"/>
      <name val="A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9" fontId="2" fillId="0" borderId="0" applyFont="0" applyFill="0" applyBorder="0" applyAlignment="0" applyProtection="0"/>
  </cellStyleXfs>
  <cellXfs count="123">
    <xf numFmtId="0" fontId="0" fillId="0" borderId="0" xfId="0"/>
    <xf numFmtId="0" fontId="12" fillId="0" borderId="0" xfId="2"/>
    <xf numFmtId="9" fontId="1" fillId="0" borderId="0" xfId="4" applyFont="1"/>
    <xf numFmtId="0" fontId="11" fillId="2" borderId="1" xfId="0" applyFont="1" applyFill="1" applyBorder="1" applyAlignment="1">
      <alignment vertical="top"/>
    </xf>
    <xf numFmtId="0" fontId="11" fillId="2" borderId="1" xfId="2" applyFont="1" applyFill="1" applyBorder="1" applyAlignment="1">
      <alignment vertical="top"/>
    </xf>
    <xf numFmtId="0" fontId="11" fillId="2" borderId="1" xfId="2" applyFont="1" applyFill="1" applyBorder="1" applyAlignment="1">
      <alignment vertical="top" wrapText="1"/>
    </xf>
    <xf numFmtId="0" fontId="11" fillId="2" borderId="1" xfId="0" applyNumberFormat="1" applyFont="1" applyFill="1" applyBorder="1" applyAlignment="1">
      <alignment vertical="top" wrapText="1"/>
    </xf>
    <xf numFmtId="2" fontId="11" fillId="2" borderId="1" xfId="2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9" fillId="3" borderId="1" xfId="2" applyFont="1" applyFill="1" applyBorder="1" applyAlignment="1">
      <alignment horizontal="center" vertical="top" wrapText="1"/>
    </xf>
    <xf numFmtId="0" fontId="9" fillId="3" borderId="1" xfId="2" applyFont="1" applyFill="1" applyBorder="1"/>
    <xf numFmtId="0" fontId="1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9" fillId="3" borderId="2" xfId="0" applyFont="1" applyFill="1" applyBorder="1" applyAlignment="1">
      <alignment horizontal="center" vertical="center" wrapText="1"/>
    </xf>
    <xf numFmtId="0" fontId="11" fillId="3" borderId="0" xfId="2" applyFont="1" applyFill="1"/>
    <xf numFmtId="0" fontId="11" fillId="3" borderId="0" xfId="2" applyFont="1" applyFill="1" applyAlignment="1">
      <alignment horizontal="right"/>
    </xf>
    <xf numFmtId="2" fontId="11" fillId="3" borderId="1" xfId="2" applyNumberFormat="1" applyFont="1" applyFill="1" applyBorder="1" applyAlignment="1">
      <alignment horizontal="center"/>
    </xf>
    <xf numFmtId="164" fontId="9" fillId="3" borderId="1" xfId="2" applyNumberFormat="1" applyFont="1" applyFill="1" applyBorder="1" applyAlignment="1">
      <alignment horizontal="center"/>
    </xf>
    <xf numFmtId="9" fontId="9" fillId="3" borderId="1" xfId="2" applyNumberFormat="1" applyFont="1" applyFill="1" applyBorder="1" applyAlignment="1">
      <alignment horizontal="left"/>
    </xf>
    <xf numFmtId="0" fontId="1" fillId="3" borderId="0" xfId="0" applyFont="1" applyFill="1" applyAlignment="1">
      <alignment vertical="center"/>
    </xf>
    <xf numFmtId="0" fontId="1" fillId="3" borderId="0" xfId="0" applyFont="1" applyFill="1"/>
    <xf numFmtId="15" fontId="10" fillId="3" borderId="2" xfId="0" applyNumberFormat="1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 wrapText="1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 wrapText="1"/>
    </xf>
    <xf numFmtId="0" fontId="9" fillId="3" borderId="8" xfId="0" applyFont="1" applyFill="1" applyBorder="1" applyAlignment="1">
      <alignment horizontal="center" vertical="top"/>
    </xf>
    <xf numFmtId="0" fontId="11" fillId="2" borderId="1" xfId="2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3" fillId="2" borderId="1" xfId="1" applyNumberFormat="1" applyFill="1" applyBorder="1" applyAlignment="1" applyProtection="1">
      <alignment vertical="top" wrapText="1"/>
    </xf>
    <xf numFmtId="0" fontId="13" fillId="2" borderId="1" xfId="1" applyFill="1" applyBorder="1" applyAlignment="1" applyProtection="1">
      <alignment vertical="top" wrapText="1"/>
    </xf>
    <xf numFmtId="0" fontId="11" fillId="3" borderId="0" xfId="2" applyFont="1" applyFill="1" applyAlignment="1">
      <alignment horizontal="left" vertical="top" wrapText="1"/>
    </xf>
    <xf numFmtId="0" fontId="11" fillId="4" borderId="15" xfId="0" applyFont="1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11" fillId="2" borderId="1" xfId="0" applyNumberFormat="1" applyFont="1" applyFill="1" applyBorder="1" applyAlignment="1">
      <alignment vertical="top"/>
    </xf>
    <xf numFmtId="0" fontId="11" fillId="4" borderId="1" xfId="0" applyFont="1" applyFill="1" applyBorder="1" applyAlignment="1">
      <alignment vertical="top"/>
    </xf>
    <xf numFmtId="0" fontId="11" fillId="3" borderId="0" xfId="2" applyFont="1" applyFill="1" applyAlignment="1"/>
    <xf numFmtId="0" fontId="6" fillId="2" borderId="2" xfId="0" applyFont="1" applyFill="1" applyBorder="1" applyAlignment="1">
      <alignment horizontal="center" vertical="center" wrapText="1"/>
    </xf>
    <xf numFmtId="0" fontId="11" fillId="2" borderId="1" xfId="2" quotePrefix="1" applyFont="1" applyFill="1" applyBorder="1" applyAlignment="1">
      <alignment horizontal="left" vertical="top" wrapText="1"/>
    </xf>
    <xf numFmtId="9" fontId="4" fillId="3" borderId="2" xfId="0" applyNumberFormat="1" applyFont="1" applyFill="1" applyBorder="1" applyAlignment="1">
      <alignment horizontal="center" vertical="center" wrapText="1"/>
    </xf>
    <xf numFmtId="0" fontId="11" fillId="2" borderId="8" xfId="2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left" vertical="top" wrapText="1"/>
    </xf>
    <xf numFmtId="0" fontId="9" fillId="4" borderId="15" xfId="0" applyFont="1" applyFill="1" applyBorder="1" applyAlignment="1">
      <alignment vertical="top"/>
    </xf>
    <xf numFmtId="0" fontId="16" fillId="2" borderId="1" xfId="1" applyFont="1" applyFill="1" applyBorder="1" applyAlignment="1" applyProtection="1">
      <alignment vertical="top" wrapText="1"/>
    </xf>
    <xf numFmtId="0" fontId="11" fillId="2" borderId="1" xfId="0" applyNumberFormat="1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 vertical="top"/>
    </xf>
    <xf numFmtId="0" fontId="9" fillId="2" borderId="1" xfId="2" applyFont="1" applyFill="1" applyBorder="1" applyAlignment="1">
      <alignment vertical="top"/>
    </xf>
    <xf numFmtId="0" fontId="9" fillId="2" borderId="1" xfId="2" applyFont="1" applyFill="1" applyBorder="1" applyAlignment="1">
      <alignment horizontal="left" vertical="top" wrapText="1"/>
    </xf>
    <xf numFmtId="0" fontId="9" fillId="2" borderId="8" xfId="2" applyFont="1" applyFill="1" applyBorder="1" applyAlignment="1">
      <alignment horizontal="left" vertical="top" wrapText="1"/>
    </xf>
    <xf numFmtId="0" fontId="11" fillId="2" borderId="1" xfId="2" applyFont="1" applyFill="1" applyBorder="1" applyAlignment="1">
      <alignment horizontal="left" vertical="top"/>
    </xf>
    <xf numFmtId="0" fontId="11" fillId="2" borderId="3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6" fillId="2" borderId="1" xfId="1" quotePrefix="1" applyFont="1" applyFill="1" applyBorder="1" applyAlignment="1" applyProtection="1">
      <alignment vertical="top" wrapText="1"/>
    </xf>
    <xf numFmtId="165" fontId="1" fillId="2" borderId="2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  <xf numFmtId="2" fontId="0" fillId="0" borderId="1" xfId="0" applyNumberFormat="1" applyBorder="1" applyAlignment="1">
      <alignment horizontal="center" vertical="top"/>
    </xf>
    <xf numFmtId="2" fontId="14" fillId="0" borderId="8" xfId="0" applyNumberFormat="1" applyFont="1" applyBorder="1" applyAlignment="1">
      <alignment horizontal="center" vertical="top"/>
    </xf>
    <xf numFmtId="166" fontId="11" fillId="3" borderId="1" xfId="4" applyNumberFormat="1" applyFont="1" applyFill="1" applyBorder="1" applyAlignment="1">
      <alignment horizontal="left"/>
    </xf>
    <xf numFmtId="0" fontId="9" fillId="2" borderId="3" xfId="0" applyFont="1" applyFill="1" applyBorder="1" applyAlignment="1">
      <alignment horizontal="left" vertical="top" wrapText="1"/>
    </xf>
    <xf numFmtId="0" fontId="9" fillId="2" borderId="3" xfId="2" applyFont="1" applyFill="1" applyBorder="1" applyAlignment="1">
      <alignment horizontal="left" vertical="top" wrapText="1"/>
    </xf>
    <xf numFmtId="0" fontId="11" fillId="0" borderId="2" xfId="3" applyFont="1" applyBorder="1" applyAlignment="1">
      <alignment horizontal="left" vertical="center" wrapText="1"/>
    </xf>
    <xf numFmtId="0" fontId="13" fillId="0" borderId="0" xfId="1" applyAlignment="1" applyProtection="1">
      <alignment wrapText="1"/>
    </xf>
    <xf numFmtId="0" fontId="13" fillId="4" borderId="8" xfId="1" applyFill="1" applyBorder="1" applyAlignment="1" applyProtection="1">
      <alignment vertical="top" wrapText="1"/>
    </xf>
    <xf numFmtId="0" fontId="6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9" fontId="6" fillId="2" borderId="2" xfId="0" applyNumberFormat="1" applyFont="1" applyFill="1" applyBorder="1" applyAlignment="1">
      <alignment vertical="center" wrapText="1"/>
    </xf>
    <xf numFmtId="0" fontId="17" fillId="3" borderId="0" xfId="0" applyFont="1" applyFill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5" fillId="2" borderId="2" xfId="0" quotePrefix="1" applyFont="1" applyFill="1" applyBorder="1" applyAlignment="1">
      <alignment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8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5" xfId="0" applyFont="1" applyFill="1" applyBorder="1" applyAlignment="1">
      <alignment horizontal="center" vertical="top" wrapText="1"/>
    </xf>
    <xf numFmtId="0" fontId="11" fillId="2" borderId="19" xfId="0" applyFont="1" applyFill="1" applyBorder="1" applyAlignment="1">
      <alignment horizontal="left" vertical="center"/>
    </xf>
    <xf numFmtId="0" fontId="11" fillId="2" borderId="20" xfId="0" applyFont="1" applyFill="1" applyBorder="1" applyAlignment="1">
      <alignment horizontal="left" vertical="center"/>
    </xf>
    <xf numFmtId="0" fontId="11" fillId="2" borderId="21" xfId="0" applyFont="1" applyFill="1" applyBorder="1" applyAlignment="1">
      <alignment horizontal="left" vertical="center"/>
    </xf>
    <xf numFmtId="0" fontId="11" fillId="2" borderId="2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top" wrapText="1"/>
    </xf>
    <xf numFmtId="0" fontId="11" fillId="2" borderId="3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8" fillId="3" borderId="0" xfId="2" applyFont="1" applyFill="1" applyAlignment="1">
      <alignment horizontal="center" vertical="center"/>
    </xf>
    <xf numFmtId="0" fontId="9" fillId="3" borderId="13" xfId="0" applyFont="1" applyFill="1" applyBorder="1" applyAlignment="1">
      <alignment horizontal="center" vertical="top"/>
    </xf>
    <xf numFmtId="0" fontId="9" fillId="3" borderId="8" xfId="0" applyFont="1" applyFill="1" applyBorder="1" applyAlignment="1">
      <alignment horizontal="center" vertical="top"/>
    </xf>
    <xf numFmtId="0" fontId="10" fillId="3" borderId="0" xfId="0" applyFont="1" applyFill="1" applyAlignment="1">
      <alignment horizontal="left" vertical="center"/>
    </xf>
  </cellXfs>
  <cellStyles count="5">
    <cellStyle name="Hyperlink" xfId="1" builtinId="8"/>
    <cellStyle name="Normal" xfId="0" builtinId="0" customBuiltin="1"/>
    <cellStyle name="Normal 2" xfId="2"/>
    <cellStyle name="Normal 3" xfId="3"/>
    <cellStyle name="Percent" xfId="4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TI6YwO0BhT8&amp;amp;list=PL-gPfnsMEiqkfaK9k9HX7Dgwcn3doszR2&amp;amp;index=1" TargetMode="External"/><Relationship Id="rId3" Type="http://schemas.openxmlformats.org/officeDocument/2006/relationships/hyperlink" Target="https://www.youtube.com/watch?v=NNuQ2_o_rvc&amp;amp;list=PL-gPfnsMEiqntDgyagl3AszOF2-xFUa-x&amp;amp;index=24" TargetMode="External"/><Relationship Id="rId7" Type="http://schemas.openxmlformats.org/officeDocument/2006/relationships/hyperlink" Target="https://www.youtube.com/watch?v=K3inpot2l-g&amp;amp;list=PL-gPfnsMEiqntDgyagl3AszOF2-xFUa-x&amp;amp;index=54" TargetMode="External"/><Relationship Id="rId2" Type="http://schemas.openxmlformats.org/officeDocument/2006/relationships/hyperlink" Target="https://www.youtube.com/watch?v=ko22T9sxMFQ&amp;amp;list=PL-gPfnsMEiqntDgyagl3AszOF2-xFUa-x&amp;amp;index=18" TargetMode="External"/><Relationship Id="rId1" Type="http://schemas.openxmlformats.org/officeDocument/2006/relationships/hyperlink" Target="https://www.youtube.com/watch?v=RhHBfRCVlxY&amp;amp;list=PL-gPfnsMEiqntDgyagl3AszOF2-xFUa-x&amp;amp;index=6" TargetMode="External"/><Relationship Id="rId6" Type="http://schemas.openxmlformats.org/officeDocument/2006/relationships/hyperlink" Target="https://www.youtube.com/watch?v=CFNCqax4MeI&amp;amp;list=PL-gPfnsMEiqntDgyagl3AszOF2-xFUa-x&amp;amp;index=46" TargetMode="External"/><Relationship Id="rId5" Type="http://schemas.openxmlformats.org/officeDocument/2006/relationships/hyperlink" Target="https://www.youtube.com/watch?v=lCLzpZoeIjM&amp;amp;list=PL-gPfnsMEiqkfaK9k9HX7Dgwcn3doszR2&amp;amp;index=19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youtube.com/watch?v=MdCPgdHepHU&amp;amp;list=PL-gPfnsMEiqmblUW6pC_49BdkrvbTflmY&amp;amp;index=1" TargetMode="External"/><Relationship Id="rId9" Type="http://schemas.openxmlformats.org/officeDocument/2006/relationships/hyperlink" Target="https://www.youtube.com/watch?v=zhkfi0koQFo&amp;amp;list=PL-gPfnsMEiqkfaK9k9HX7Dgwcn3doszR2&amp;amp;index=2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topLeftCell="A22" zoomScale="85" zoomScaleNormal="85" zoomScaleSheetLayoutView="100" workbookViewId="0">
      <selection activeCell="E25" sqref="E25:G25"/>
    </sheetView>
  </sheetViews>
  <sheetFormatPr defaultColWidth="9.1796875" defaultRowHeight="12.5"/>
  <cols>
    <col min="1" max="1" width="4.81640625" style="23" customWidth="1"/>
    <col min="2" max="2" width="17.453125" style="23" customWidth="1"/>
    <col min="3" max="3" width="19.1796875" style="23" customWidth="1"/>
    <col min="4" max="4" width="9.6328125" style="23" customWidth="1"/>
    <col min="5" max="5" width="54.36328125" style="23" customWidth="1"/>
    <col min="6" max="6" width="12.453125" style="23" customWidth="1"/>
    <col min="7" max="7" width="0.1796875" style="23" customWidth="1"/>
    <col min="8" max="16384" width="9.1796875" style="23"/>
  </cols>
  <sheetData>
    <row r="1" spans="1:7" ht="29.25" customHeight="1">
      <c r="A1" s="81" t="s">
        <v>493</v>
      </c>
      <c r="B1" s="81"/>
      <c r="C1" s="81"/>
      <c r="D1" s="81"/>
      <c r="E1" s="81"/>
      <c r="F1" s="81"/>
    </row>
    <row r="2" spans="1:7" ht="13">
      <c r="A2" s="24"/>
    </row>
    <row r="3" spans="1:7" ht="13">
      <c r="A3" s="25">
        <v>1</v>
      </c>
      <c r="B3" s="26" t="s">
        <v>11</v>
      </c>
      <c r="C3" s="104" t="s">
        <v>501</v>
      </c>
      <c r="D3" s="105"/>
      <c r="E3" s="105"/>
      <c r="F3" s="106"/>
    </row>
    <row r="4" spans="1:7" ht="13">
      <c r="A4" s="27">
        <v>2</v>
      </c>
      <c r="B4" s="28" t="s">
        <v>10</v>
      </c>
      <c r="C4" s="77" t="s">
        <v>443</v>
      </c>
      <c r="D4" s="78"/>
      <c r="E4" s="78"/>
      <c r="F4" s="79"/>
    </row>
    <row r="5" spans="1:7" ht="13">
      <c r="A5" s="27">
        <v>3</v>
      </c>
      <c r="B5" s="28" t="s">
        <v>8</v>
      </c>
      <c r="C5" s="89" t="s">
        <v>442</v>
      </c>
      <c r="D5" s="91"/>
      <c r="E5" s="91"/>
      <c r="F5" s="92"/>
    </row>
    <row r="6" spans="1:7" ht="18" customHeight="1">
      <c r="A6" s="27">
        <v>4</v>
      </c>
      <c r="B6" s="28" t="s">
        <v>12</v>
      </c>
      <c r="C6" s="78" t="s">
        <v>434</v>
      </c>
      <c r="D6" s="78"/>
      <c r="E6" s="78"/>
      <c r="F6" s="79"/>
    </row>
    <row r="7" spans="1:7" ht="42.75" customHeight="1">
      <c r="A7" s="82">
        <v>5</v>
      </c>
      <c r="B7" s="86" t="s">
        <v>13</v>
      </c>
      <c r="C7" s="78" t="s">
        <v>435</v>
      </c>
      <c r="D7" s="78"/>
      <c r="E7" s="78"/>
      <c r="F7" s="79"/>
    </row>
    <row r="8" spans="1:7" ht="16.5" customHeight="1">
      <c r="A8" s="82"/>
      <c r="B8" s="86"/>
      <c r="C8" s="29" t="s">
        <v>27</v>
      </c>
      <c r="D8" s="29" t="s">
        <v>28</v>
      </c>
      <c r="E8" s="87" t="s">
        <v>51</v>
      </c>
      <c r="F8" s="88"/>
    </row>
    <row r="9" spans="1:7" ht="26" customHeight="1">
      <c r="A9" s="82"/>
      <c r="B9" s="86"/>
      <c r="C9" s="49" t="s">
        <v>488</v>
      </c>
      <c r="D9" s="74" t="s">
        <v>489</v>
      </c>
      <c r="E9" s="89" t="s">
        <v>490</v>
      </c>
      <c r="F9" s="90"/>
    </row>
    <row r="10" spans="1:7" ht="28.5" customHeight="1">
      <c r="A10" s="82"/>
      <c r="B10" s="86"/>
      <c r="C10" s="49" t="s">
        <v>414</v>
      </c>
      <c r="D10" s="74" t="s">
        <v>412</v>
      </c>
      <c r="E10" s="89" t="s">
        <v>413</v>
      </c>
      <c r="F10" s="90"/>
    </row>
    <row r="11" spans="1:7" ht="170" customHeight="1">
      <c r="A11" s="82"/>
      <c r="B11" s="86"/>
      <c r="C11" s="89" t="s">
        <v>430</v>
      </c>
      <c r="D11" s="91"/>
      <c r="E11" s="91"/>
      <c r="F11" s="92"/>
    </row>
    <row r="12" spans="1:7" ht="377" customHeight="1">
      <c r="A12" s="27">
        <v>6</v>
      </c>
      <c r="B12" s="28" t="s">
        <v>14</v>
      </c>
      <c r="C12" s="89" t="s">
        <v>491</v>
      </c>
      <c r="D12" s="91"/>
      <c r="E12" s="91"/>
      <c r="F12" s="92"/>
      <c r="G12" s="30"/>
    </row>
    <row r="13" spans="1:7" ht="13">
      <c r="A13" s="82">
        <v>7</v>
      </c>
      <c r="B13" s="83" t="s">
        <v>15</v>
      </c>
      <c r="C13" s="31" t="s">
        <v>16</v>
      </c>
      <c r="D13" s="46">
        <f>'Spring Framework_Schedule'!I137</f>
        <v>0.29036073329390893</v>
      </c>
      <c r="E13" s="48" t="s">
        <v>436</v>
      </c>
      <c r="F13" s="103" t="s">
        <v>506</v>
      </c>
    </row>
    <row r="14" spans="1:7" ht="13">
      <c r="A14" s="82"/>
      <c r="B14" s="83"/>
      <c r="C14" s="31" t="s">
        <v>17</v>
      </c>
      <c r="D14" s="46">
        <f>'Spring Framework_Schedule'!I138</f>
        <v>0.35481963335304556</v>
      </c>
      <c r="E14" s="48" t="s">
        <v>437</v>
      </c>
      <c r="F14" s="79"/>
    </row>
    <row r="15" spans="1:7" ht="25">
      <c r="A15" s="82"/>
      <c r="B15" s="83"/>
      <c r="C15" s="31" t="s">
        <v>19</v>
      </c>
      <c r="D15" s="46">
        <f>'Spring Framework_Schedule'!I139</f>
        <v>0.14192785334121821</v>
      </c>
      <c r="E15" s="48" t="s">
        <v>438</v>
      </c>
      <c r="F15" s="79"/>
    </row>
    <row r="16" spans="1:7" ht="13">
      <c r="A16" s="82"/>
      <c r="B16" s="83"/>
      <c r="C16" s="31" t="s">
        <v>18</v>
      </c>
      <c r="D16" s="46">
        <f>'Spring Framework_Schedule'!I140</f>
        <v>7.0963926670609107E-2</v>
      </c>
      <c r="E16" s="48" t="s">
        <v>439</v>
      </c>
      <c r="F16" s="79"/>
    </row>
    <row r="17" spans="1:7" ht="13">
      <c r="A17" s="82"/>
      <c r="B17" s="83"/>
      <c r="C17" s="31" t="s">
        <v>42</v>
      </c>
      <c r="D17" s="46">
        <f>'Spring Framework_Schedule'!I141</f>
        <v>0.14192785334121821</v>
      </c>
      <c r="E17" s="48" t="s">
        <v>440</v>
      </c>
      <c r="F17" s="79"/>
    </row>
    <row r="18" spans="1:7">
      <c r="A18" s="82">
        <v>8</v>
      </c>
      <c r="B18" s="83" t="s">
        <v>29</v>
      </c>
      <c r="C18" s="95" t="s">
        <v>20</v>
      </c>
      <c r="D18" s="89" t="s">
        <v>420</v>
      </c>
      <c r="E18" s="91"/>
      <c r="F18" s="92"/>
    </row>
    <row r="19" spans="1:7">
      <c r="A19" s="82"/>
      <c r="B19" s="83"/>
      <c r="C19" s="95"/>
      <c r="D19" s="89" t="s">
        <v>421</v>
      </c>
      <c r="E19" s="91"/>
      <c r="F19" s="92"/>
    </row>
    <row r="20" spans="1:7" ht="13">
      <c r="A20" s="82"/>
      <c r="B20" s="83"/>
      <c r="C20" s="95" t="s">
        <v>2</v>
      </c>
      <c r="D20" s="99" t="s">
        <v>422</v>
      </c>
      <c r="E20" s="100"/>
      <c r="F20" s="101"/>
    </row>
    <row r="21" spans="1:7" ht="13">
      <c r="A21" s="82"/>
      <c r="B21" s="83"/>
      <c r="C21" s="95"/>
      <c r="D21" s="99" t="s">
        <v>423</v>
      </c>
      <c r="E21" s="100"/>
      <c r="F21" s="101"/>
    </row>
    <row r="22" spans="1:7" ht="13">
      <c r="A22" s="82"/>
      <c r="B22" s="83"/>
      <c r="C22" s="95"/>
      <c r="D22" s="99" t="s">
        <v>424</v>
      </c>
      <c r="E22" s="100"/>
      <c r="F22" s="101"/>
    </row>
    <row r="23" spans="1:7" ht="82" customHeight="1">
      <c r="A23" s="82"/>
      <c r="B23" s="83"/>
      <c r="C23" s="31" t="s">
        <v>21</v>
      </c>
      <c r="D23" s="78" t="s">
        <v>415</v>
      </c>
      <c r="E23" s="78"/>
      <c r="F23" s="79"/>
    </row>
    <row r="24" spans="1:7" ht="18" customHeight="1">
      <c r="A24" s="82">
        <v>9</v>
      </c>
      <c r="B24" s="83" t="s">
        <v>22</v>
      </c>
      <c r="C24" s="31" t="s">
        <v>23</v>
      </c>
      <c r="D24" s="44">
        <v>4</v>
      </c>
      <c r="E24" s="77" t="s">
        <v>507</v>
      </c>
      <c r="F24" s="78"/>
      <c r="G24" s="79"/>
    </row>
    <row r="25" spans="1:7" ht="18" customHeight="1">
      <c r="A25" s="82"/>
      <c r="B25" s="83"/>
      <c r="C25" s="31" t="s">
        <v>24</v>
      </c>
      <c r="D25" s="44">
        <v>1</v>
      </c>
      <c r="E25" s="80" t="s">
        <v>500</v>
      </c>
      <c r="F25" s="78"/>
      <c r="G25" s="79"/>
    </row>
    <row r="26" spans="1:7" ht="57.5" customHeight="1">
      <c r="A26" s="82"/>
      <c r="B26" s="83"/>
      <c r="C26" s="31" t="s">
        <v>25</v>
      </c>
      <c r="D26" s="44">
        <v>1</v>
      </c>
      <c r="E26" s="84" t="s">
        <v>492</v>
      </c>
      <c r="F26" s="85"/>
    </row>
    <row r="27" spans="1:7" ht="49" customHeight="1">
      <c r="A27" s="82"/>
      <c r="B27" s="83"/>
      <c r="C27" s="31" t="s">
        <v>26</v>
      </c>
      <c r="D27" s="84" t="s">
        <v>416</v>
      </c>
      <c r="E27" s="102"/>
      <c r="F27" s="85"/>
    </row>
    <row r="28" spans="1:7" ht="31.5" customHeight="1">
      <c r="A28" s="82">
        <v>10</v>
      </c>
      <c r="B28" s="86" t="s">
        <v>30</v>
      </c>
      <c r="C28" s="31" t="s">
        <v>32</v>
      </c>
      <c r="D28" s="77" t="s">
        <v>417</v>
      </c>
      <c r="E28" s="78"/>
      <c r="F28" s="79"/>
    </row>
    <row r="29" spans="1:7" ht="32.25" customHeight="1">
      <c r="A29" s="82"/>
      <c r="B29" s="86"/>
      <c r="C29" s="31" t="s">
        <v>33</v>
      </c>
      <c r="D29" s="96" t="s">
        <v>425</v>
      </c>
      <c r="E29" s="78"/>
      <c r="F29" s="79"/>
    </row>
    <row r="30" spans="1:7" ht="90" customHeight="1">
      <c r="A30" s="82"/>
      <c r="B30" s="86"/>
      <c r="C30" s="31" t="s">
        <v>34</v>
      </c>
      <c r="D30" s="96" t="s">
        <v>505</v>
      </c>
      <c r="E30" s="78"/>
      <c r="F30" s="79"/>
    </row>
    <row r="31" spans="1:7" ht="29.5" customHeight="1">
      <c r="A31" s="82"/>
      <c r="B31" s="86"/>
      <c r="C31" s="31" t="s">
        <v>31</v>
      </c>
      <c r="D31" s="78" t="s">
        <v>499</v>
      </c>
      <c r="E31" s="78"/>
      <c r="F31" s="79"/>
    </row>
    <row r="32" spans="1:7" ht="58" customHeight="1">
      <c r="A32" s="82"/>
      <c r="B32" s="86"/>
      <c r="C32" s="31" t="s">
        <v>43</v>
      </c>
      <c r="D32" s="96" t="s">
        <v>498</v>
      </c>
      <c r="E32" s="78"/>
      <c r="F32" s="79"/>
    </row>
    <row r="33" spans="1:6" ht="38" customHeight="1">
      <c r="A33" s="82"/>
      <c r="B33" s="86"/>
      <c r="C33" s="31" t="s">
        <v>50</v>
      </c>
      <c r="D33" s="93" t="s">
        <v>418</v>
      </c>
      <c r="E33" s="93"/>
      <c r="F33" s="94"/>
    </row>
    <row r="34" spans="1:6" ht="40.5" customHeight="1">
      <c r="A34" s="97"/>
      <c r="B34" s="98"/>
      <c r="C34" s="32" t="s">
        <v>35</v>
      </c>
      <c r="D34" s="93" t="s">
        <v>419</v>
      </c>
      <c r="E34" s="93"/>
      <c r="F34" s="94"/>
    </row>
  </sheetData>
  <mergeCells count="41">
    <mergeCell ref="D20:F20"/>
    <mergeCell ref="D23:F23"/>
    <mergeCell ref="F13:F17"/>
    <mergeCell ref="C3:F3"/>
    <mergeCell ref="C4:F4"/>
    <mergeCell ref="C5:F5"/>
    <mergeCell ref="C6:F6"/>
    <mergeCell ref="C12:F12"/>
    <mergeCell ref="E9:F9"/>
    <mergeCell ref="D34:F34"/>
    <mergeCell ref="C18:C19"/>
    <mergeCell ref="D32:F32"/>
    <mergeCell ref="A28:A34"/>
    <mergeCell ref="B28:B34"/>
    <mergeCell ref="D29:F29"/>
    <mergeCell ref="C20:C22"/>
    <mergeCell ref="B18:B23"/>
    <mergeCell ref="D21:F21"/>
    <mergeCell ref="D28:F28"/>
    <mergeCell ref="D30:F30"/>
    <mergeCell ref="D31:F31"/>
    <mergeCell ref="D33:F33"/>
    <mergeCell ref="D22:F22"/>
    <mergeCell ref="D18:F18"/>
    <mergeCell ref="D27:F27"/>
    <mergeCell ref="E24:G24"/>
    <mergeCell ref="E25:G25"/>
    <mergeCell ref="A1:F1"/>
    <mergeCell ref="A24:A27"/>
    <mergeCell ref="B24:B27"/>
    <mergeCell ref="E26:F26"/>
    <mergeCell ref="B7:B11"/>
    <mergeCell ref="C7:F7"/>
    <mergeCell ref="A18:A23"/>
    <mergeCell ref="A13:A17"/>
    <mergeCell ref="B13:B17"/>
    <mergeCell ref="E8:F8"/>
    <mergeCell ref="E10:F10"/>
    <mergeCell ref="A7:A11"/>
    <mergeCell ref="C11:F11"/>
    <mergeCell ref="D19:F19"/>
  </mergeCells>
  <phoneticPr fontId="3" type="noConversion"/>
  <conditionalFormatting sqref="D9">
    <cfRule type="duplicateValues" dxfId="2" priority="2" stopIfTrue="1"/>
  </conditionalFormatting>
  <conditionalFormatting sqref="D10">
    <cfRule type="duplicateValues" dxfId="1" priority="1" stopIfTrue="1"/>
  </conditionalFormatting>
  <pageMargins left="0.70866141732283505" right="0.70866141732283505" top="0.31496062992126" bottom="0.31496062992126" header="0.23622047244094499" footer="0.23622047244094499"/>
  <pageSetup paperSize="9" scale="90" orientation="landscape" r:id="rId1"/>
  <headerFooter>
    <oddFooter>&amp;L18e-BM/DT/FSOFT v1/1&amp;CInternal use&amp;R&amp;P/&amp;N</oddFooter>
  </headerFooter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2"/>
  <sheetViews>
    <sheetView zoomScale="70" zoomScaleNormal="70" zoomScaleSheetLayoutView="100" workbookViewId="0">
      <pane ySplit="2" topLeftCell="A132" activePane="bottomLeft" state="frozen"/>
      <selection pane="bottomLeft" activeCell="E157" sqref="E157"/>
    </sheetView>
  </sheetViews>
  <sheetFormatPr defaultColWidth="9" defaultRowHeight="12.5"/>
  <cols>
    <col min="1" max="1" width="6.6328125" style="14" customWidth="1"/>
    <col min="2" max="2" width="12.453125" style="14" customWidth="1"/>
    <col min="3" max="3" width="9" style="14" customWidth="1"/>
    <col min="4" max="4" width="24.81640625" style="38" customWidth="1"/>
    <col min="5" max="5" width="38.1796875" style="43" customWidth="1"/>
    <col min="6" max="6" width="10" style="14" customWidth="1"/>
    <col min="7" max="7" width="16.6328125" style="14" customWidth="1"/>
    <col min="8" max="8" width="10" style="15" customWidth="1"/>
    <col min="9" max="9" width="9.1796875" style="15" customWidth="1"/>
    <col min="10" max="10" width="58.453125" style="15" customWidth="1"/>
    <col min="11" max="16384" width="9" style="14"/>
  </cols>
  <sheetData>
    <row r="1" spans="1:10" ht="36.75" customHeight="1">
      <c r="A1" s="119" t="s">
        <v>502</v>
      </c>
      <c r="B1" s="119"/>
      <c r="C1" s="119"/>
      <c r="D1" s="119"/>
      <c r="E1" s="119"/>
      <c r="F1" s="119"/>
      <c r="G1" s="119"/>
      <c r="H1" s="119"/>
      <c r="I1" s="119"/>
      <c r="J1" s="119"/>
    </row>
    <row r="2" spans="1:10" ht="32.25" customHeight="1">
      <c r="A2" s="120" t="s">
        <v>52</v>
      </c>
      <c r="B2" s="121"/>
      <c r="C2" s="33" t="s">
        <v>356</v>
      </c>
      <c r="D2" s="9" t="s">
        <v>53</v>
      </c>
      <c r="E2" s="8" t="s">
        <v>39</v>
      </c>
      <c r="F2" s="51" t="s">
        <v>55</v>
      </c>
      <c r="G2" s="9" t="s">
        <v>38</v>
      </c>
      <c r="H2" s="9" t="s">
        <v>54</v>
      </c>
      <c r="I2" s="9" t="s">
        <v>56</v>
      </c>
      <c r="J2" s="9" t="s">
        <v>40</v>
      </c>
    </row>
    <row r="3" spans="1:10" ht="18" customHeight="1">
      <c r="A3" s="117" t="s">
        <v>58</v>
      </c>
      <c r="B3" s="107" t="s">
        <v>132</v>
      </c>
      <c r="C3" s="107" t="s">
        <v>358</v>
      </c>
      <c r="D3" s="35" t="s">
        <v>61</v>
      </c>
      <c r="E3" s="39" t="s">
        <v>235</v>
      </c>
      <c r="F3" s="55" t="s">
        <v>412</v>
      </c>
      <c r="G3" s="3" t="s">
        <v>16</v>
      </c>
      <c r="H3" s="69">
        <v>1</v>
      </c>
      <c r="I3" s="7" t="s">
        <v>426</v>
      </c>
      <c r="J3" s="36" t="s">
        <v>133</v>
      </c>
    </row>
    <row r="4" spans="1:10" ht="18" customHeight="1">
      <c r="A4" s="118"/>
      <c r="B4" s="108"/>
      <c r="C4" s="108"/>
      <c r="D4" s="35" t="s">
        <v>62</v>
      </c>
      <c r="E4" s="39" t="s">
        <v>236</v>
      </c>
      <c r="F4" s="55" t="s">
        <v>412</v>
      </c>
      <c r="G4" s="3" t="s">
        <v>16</v>
      </c>
      <c r="H4" s="69">
        <v>1</v>
      </c>
      <c r="I4" s="7" t="s">
        <v>426</v>
      </c>
      <c r="J4" s="36" t="s">
        <v>134</v>
      </c>
    </row>
    <row r="5" spans="1:10" ht="18" customHeight="1">
      <c r="A5" s="118"/>
      <c r="B5" s="108"/>
      <c r="C5" s="108"/>
      <c r="D5" s="35" t="s">
        <v>63</v>
      </c>
      <c r="E5" s="39" t="s">
        <v>237</v>
      </c>
      <c r="F5" s="55" t="s">
        <v>412</v>
      </c>
      <c r="G5" s="3" t="s">
        <v>16</v>
      </c>
      <c r="H5" s="69">
        <v>2</v>
      </c>
      <c r="I5" s="7" t="s">
        <v>426</v>
      </c>
      <c r="J5" s="75" t="s">
        <v>135</v>
      </c>
    </row>
    <row r="6" spans="1:10" ht="18" customHeight="1">
      <c r="A6" s="118"/>
      <c r="B6" s="108"/>
      <c r="C6" s="108"/>
      <c r="D6" s="35" t="s">
        <v>64</v>
      </c>
      <c r="E6" s="39" t="s">
        <v>238</v>
      </c>
      <c r="F6" s="55" t="s">
        <v>412</v>
      </c>
      <c r="G6" s="3" t="s">
        <v>16</v>
      </c>
      <c r="H6" s="69">
        <v>2</v>
      </c>
      <c r="I6" s="7" t="s">
        <v>426</v>
      </c>
      <c r="J6" s="36" t="s">
        <v>136</v>
      </c>
    </row>
    <row r="7" spans="1:10" ht="18" customHeight="1">
      <c r="A7" s="118"/>
      <c r="B7" s="108"/>
      <c r="C7" s="108"/>
      <c r="D7" s="35" t="s">
        <v>65</v>
      </c>
      <c r="E7" s="39" t="s">
        <v>239</v>
      </c>
      <c r="F7" s="55" t="s">
        <v>412</v>
      </c>
      <c r="G7" s="3" t="s">
        <v>16</v>
      </c>
      <c r="H7" s="69">
        <v>2</v>
      </c>
      <c r="I7" s="7" t="s">
        <v>426</v>
      </c>
      <c r="J7" s="36" t="s">
        <v>137</v>
      </c>
    </row>
    <row r="8" spans="1:10" ht="18" customHeight="1">
      <c r="A8" s="118"/>
      <c r="B8" s="108"/>
      <c r="C8" s="108"/>
      <c r="D8" s="35" t="s">
        <v>66</v>
      </c>
      <c r="E8" s="39" t="s">
        <v>240</v>
      </c>
      <c r="F8" s="55" t="s">
        <v>412</v>
      </c>
      <c r="G8" s="3" t="s">
        <v>16</v>
      </c>
      <c r="H8" s="69">
        <v>2</v>
      </c>
      <c r="I8" s="7" t="s">
        <v>426</v>
      </c>
      <c r="J8" s="36" t="s">
        <v>138</v>
      </c>
    </row>
    <row r="9" spans="1:10" ht="18" customHeight="1">
      <c r="A9" s="118"/>
      <c r="B9" s="108"/>
      <c r="C9" s="108"/>
      <c r="D9" s="35" t="s">
        <v>67</v>
      </c>
      <c r="E9" s="39" t="s">
        <v>241</v>
      </c>
      <c r="F9" s="55" t="s">
        <v>412</v>
      </c>
      <c r="G9" s="3" t="s">
        <v>16</v>
      </c>
      <c r="H9" s="69">
        <v>1</v>
      </c>
      <c r="I9" s="7" t="s">
        <v>426</v>
      </c>
      <c r="J9" s="36" t="s">
        <v>139</v>
      </c>
    </row>
    <row r="10" spans="1:10" ht="18" customHeight="1">
      <c r="A10" s="118"/>
      <c r="B10" s="108"/>
      <c r="C10" s="108"/>
      <c r="D10" s="35" t="s">
        <v>68</v>
      </c>
      <c r="E10" s="39" t="s">
        <v>242</v>
      </c>
      <c r="F10" s="55" t="s">
        <v>412</v>
      </c>
      <c r="G10" s="3" t="s">
        <v>16</v>
      </c>
      <c r="H10" s="69">
        <v>1</v>
      </c>
      <c r="I10" s="7" t="s">
        <v>426</v>
      </c>
      <c r="J10" s="36" t="s">
        <v>140</v>
      </c>
    </row>
    <row r="11" spans="1:10" ht="18" customHeight="1">
      <c r="A11" s="118"/>
      <c r="B11" s="108"/>
      <c r="C11" s="108"/>
      <c r="D11" s="35" t="s">
        <v>69</v>
      </c>
      <c r="E11" s="39" t="s">
        <v>243</v>
      </c>
      <c r="F11" s="55" t="s">
        <v>412</v>
      </c>
      <c r="G11" s="3" t="s">
        <v>16</v>
      </c>
      <c r="H11" s="69">
        <v>1</v>
      </c>
      <c r="I11" s="7" t="s">
        <v>426</v>
      </c>
      <c r="J11" s="36" t="s">
        <v>141</v>
      </c>
    </row>
    <row r="12" spans="1:10" ht="18" customHeight="1">
      <c r="A12" s="118"/>
      <c r="B12" s="108"/>
      <c r="C12" s="108"/>
      <c r="D12" s="35" t="s">
        <v>70</v>
      </c>
      <c r="E12" s="39" t="s">
        <v>244</v>
      </c>
      <c r="F12" s="55" t="s">
        <v>412</v>
      </c>
      <c r="G12" s="3" t="s">
        <v>16</v>
      </c>
      <c r="H12" s="69">
        <v>1</v>
      </c>
      <c r="I12" s="7" t="s">
        <v>426</v>
      </c>
      <c r="J12" s="36" t="s">
        <v>142</v>
      </c>
    </row>
    <row r="13" spans="1:10" ht="18" customHeight="1">
      <c r="A13" s="118"/>
      <c r="B13" s="108"/>
      <c r="C13" s="108"/>
      <c r="D13" s="35" t="s">
        <v>71</v>
      </c>
      <c r="E13" s="39" t="s">
        <v>245</v>
      </c>
      <c r="F13" s="55" t="s">
        <v>412</v>
      </c>
      <c r="G13" s="3" t="s">
        <v>16</v>
      </c>
      <c r="H13" s="69">
        <v>1</v>
      </c>
      <c r="I13" s="7" t="s">
        <v>426</v>
      </c>
      <c r="J13" s="36" t="s">
        <v>143</v>
      </c>
    </row>
    <row r="14" spans="1:10" ht="18" customHeight="1">
      <c r="A14" s="118"/>
      <c r="B14" s="108"/>
      <c r="C14" s="108"/>
      <c r="D14" s="35" t="s">
        <v>72</v>
      </c>
      <c r="E14" s="39" t="s">
        <v>246</v>
      </c>
      <c r="F14" s="55" t="s">
        <v>412</v>
      </c>
      <c r="G14" s="3" t="s">
        <v>16</v>
      </c>
      <c r="H14" s="69">
        <v>1</v>
      </c>
      <c r="I14" s="7" t="s">
        <v>426</v>
      </c>
      <c r="J14" s="36" t="s">
        <v>144</v>
      </c>
    </row>
    <row r="15" spans="1:10" ht="18" customHeight="1">
      <c r="A15" s="118"/>
      <c r="B15" s="108"/>
      <c r="C15" s="108"/>
      <c r="D15" s="35" t="s">
        <v>73</v>
      </c>
      <c r="E15" s="40" t="s">
        <v>247</v>
      </c>
      <c r="F15" s="55" t="s">
        <v>412</v>
      </c>
      <c r="G15" s="3" t="s">
        <v>16</v>
      </c>
      <c r="H15" s="69">
        <v>1</v>
      </c>
      <c r="I15" s="7" t="s">
        <v>426</v>
      </c>
      <c r="J15" s="36" t="s">
        <v>145</v>
      </c>
    </row>
    <row r="16" spans="1:10" ht="18" customHeight="1">
      <c r="A16" s="118"/>
      <c r="B16" s="108"/>
      <c r="C16" s="108"/>
      <c r="D16" s="35" t="s">
        <v>74</v>
      </c>
      <c r="E16" s="40" t="s">
        <v>248</v>
      </c>
      <c r="F16" s="55" t="s">
        <v>412</v>
      </c>
      <c r="G16" s="3" t="s">
        <v>16</v>
      </c>
      <c r="H16" s="69">
        <v>1</v>
      </c>
      <c r="I16" s="7" t="s">
        <v>426</v>
      </c>
      <c r="J16" s="36" t="s">
        <v>146</v>
      </c>
    </row>
    <row r="17" spans="1:10" ht="18" customHeight="1">
      <c r="A17" s="118"/>
      <c r="B17" s="108"/>
      <c r="C17" s="108"/>
      <c r="D17" s="35" t="s">
        <v>75</v>
      </c>
      <c r="E17" s="40" t="s">
        <v>249</v>
      </c>
      <c r="F17" s="55" t="s">
        <v>412</v>
      </c>
      <c r="G17" s="3" t="s">
        <v>16</v>
      </c>
      <c r="H17" s="69">
        <v>1</v>
      </c>
      <c r="I17" s="7" t="s">
        <v>426</v>
      </c>
      <c r="J17" s="36" t="s">
        <v>147</v>
      </c>
    </row>
    <row r="18" spans="1:10" ht="18" customHeight="1">
      <c r="A18" s="118"/>
      <c r="B18" s="108"/>
      <c r="C18" s="108"/>
      <c r="D18" s="35" t="s">
        <v>76</v>
      </c>
      <c r="E18" s="40" t="s">
        <v>250</v>
      </c>
      <c r="F18" s="55" t="s">
        <v>412</v>
      </c>
      <c r="G18" s="3" t="s">
        <v>16</v>
      </c>
      <c r="H18" s="69">
        <v>1</v>
      </c>
      <c r="I18" s="7" t="s">
        <v>426</v>
      </c>
      <c r="J18" s="36" t="s">
        <v>148</v>
      </c>
    </row>
    <row r="19" spans="1:10" ht="18" customHeight="1">
      <c r="A19" s="118"/>
      <c r="B19" s="108"/>
      <c r="C19" s="108"/>
      <c r="D19" s="35" t="s">
        <v>77</v>
      </c>
      <c r="E19" s="41" t="s">
        <v>251</v>
      </c>
      <c r="F19" s="55" t="s">
        <v>412</v>
      </c>
      <c r="G19" s="3" t="s">
        <v>16</v>
      </c>
      <c r="H19" s="69">
        <v>1</v>
      </c>
      <c r="I19" s="7" t="s">
        <v>426</v>
      </c>
      <c r="J19" s="36" t="s">
        <v>149</v>
      </c>
    </row>
    <row r="20" spans="1:10" ht="18" customHeight="1">
      <c r="A20" s="118"/>
      <c r="B20" s="108"/>
      <c r="C20" s="108"/>
      <c r="D20" s="34" t="s">
        <v>78</v>
      </c>
      <c r="E20" s="41" t="s">
        <v>252</v>
      </c>
      <c r="F20" s="62" t="s">
        <v>412</v>
      </c>
      <c r="G20" s="3" t="s">
        <v>16</v>
      </c>
      <c r="H20" s="70">
        <v>1</v>
      </c>
      <c r="I20" s="7" t="s">
        <v>426</v>
      </c>
      <c r="J20" s="76" t="s">
        <v>150</v>
      </c>
    </row>
    <row r="21" spans="1:10" ht="18" customHeight="1">
      <c r="A21" s="118"/>
      <c r="B21" s="108"/>
      <c r="C21" s="108"/>
      <c r="D21" s="34" t="s">
        <v>79</v>
      </c>
      <c r="E21" s="41" t="s">
        <v>253</v>
      </c>
      <c r="F21" s="55" t="s">
        <v>412</v>
      </c>
      <c r="G21" s="3" t="s">
        <v>16</v>
      </c>
      <c r="H21" s="69">
        <v>4</v>
      </c>
      <c r="I21" s="7" t="s">
        <v>426</v>
      </c>
      <c r="J21" s="75" t="s">
        <v>151</v>
      </c>
    </row>
    <row r="22" spans="1:10" ht="18" customHeight="1">
      <c r="A22" s="118"/>
      <c r="B22" s="108"/>
      <c r="C22" s="108"/>
      <c r="D22" s="34" t="s">
        <v>80</v>
      </c>
      <c r="E22" s="41" t="s">
        <v>253</v>
      </c>
      <c r="F22" s="55" t="s">
        <v>412</v>
      </c>
      <c r="G22" s="3" t="s">
        <v>16</v>
      </c>
      <c r="H22" s="69">
        <v>6</v>
      </c>
      <c r="I22" s="7" t="s">
        <v>426</v>
      </c>
      <c r="J22" s="36" t="s">
        <v>152</v>
      </c>
    </row>
    <row r="23" spans="1:10" ht="18" customHeight="1">
      <c r="A23" s="118"/>
      <c r="B23" s="108"/>
      <c r="C23" s="108"/>
      <c r="D23" s="34" t="s">
        <v>81</v>
      </c>
      <c r="E23" s="41" t="s">
        <v>254</v>
      </c>
      <c r="F23" s="55" t="s">
        <v>412</v>
      </c>
      <c r="G23" s="3" t="s">
        <v>16</v>
      </c>
      <c r="H23" s="69">
        <v>1</v>
      </c>
      <c r="I23" s="7" t="s">
        <v>426</v>
      </c>
      <c r="J23" s="36" t="s">
        <v>153</v>
      </c>
    </row>
    <row r="24" spans="1:10" ht="18" customHeight="1">
      <c r="A24" s="118"/>
      <c r="B24" s="108"/>
      <c r="C24" s="108"/>
      <c r="D24" s="34" t="s">
        <v>82</v>
      </c>
      <c r="E24" s="41" t="s">
        <v>126</v>
      </c>
      <c r="F24" s="55" t="s">
        <v>412</v>
      </c>
      <c r="G24" s="3" t="s">
        <v>16</v>
      </c>
      <c r="H24" s="69">
        <v>1</v>
      </c>
      <c r="I24" s="7" t="s">
        <v>426</v>
      </c>
      <c r="J24" s="5" t="s">
        <v>154</v>
      </c>
    </row>
    <row r="25" spans="1:10" ht="18" customHeight="1">
      <c r="A25" s="118"/>
      <c r="B25" s="108"/>
      <c r="C25" s="108"/>
      <c r="D25" s="34" t="s">
        <v>83</v>
      </c>
      <c r="E25" s="41" t="s">
        <v>127</v>
      </c>
      <c r="F25" s="55" t="s">
        <v>412</v>
      </c>
      <c r="G25" s="3" t="s">
        <v>16</v>
      </c>
      <c r="H25" s="69">
        <v>1</v>
      </c>
      <c r="I25" s="7" t="s">
        <v>426</v>
      </c>
      <c r="J25" s="5" t="s">
        <v>155</v>
      </c>
    </row>
    <row r="26" spans="1:10" ht="18" customHeight="1">
      <c r="A26" s="118"/>
      <c r="B26" s="108"/>
      <c r="C26" s="108"/>
      <c r="D26" s="35" t="s">
        <v>84</v>
      </c>
      <c r="E26" s="41" t="s">
        <v>128</v>
      </c>
      <c r="F26" s="55" t="s">
        <v>412</v>
      </c>
      <c r="G26" s="3" t="s">
        <v>16</v>
      </c>
      <c r="H26" s="69">
        <v>2</v>
      </c>
      <c r="I26" s="7" t="s">
        <v>426</v>
      </c>
      <c r="J26" s="37" t="s">
        <v>156</v>
      </c>
    </row>
    <row r="27" spans="1:10" ht="18" customHeight="1">
      <c r="A27" s="118"/>
      <c r="B27" s="108"/>
      <c r="C27" s="108"/>
      <c r="D27" s="35" t="s">
        <v>85</v>
      </c>
      <c r="E27" s="41" t="s">
        <v>129</v>
      </c>
      <c r="F27" s="55" t="s">
        <v>412</v>
      </c>
      <c r="G27" s="3" t="s">
        <v>16</v>
      </c>
      <c r="H27" s="69">
        <v>1</v>
      </c>
      <c r="I27" s="7" t="s">
        <v>426</v>
      </c>
      <c r="J27" s="36" t="s">
        <v>157</v>
      </c>
    </row>
    <row r="28" spans="1:10" ht="18" customHeight="1">
      <c r="A28" s="118"/>
      <c r="B28" s="108"/>
      <c r="C28" s="108"/>
      <c r="D28" s="35" t="s">
        <v>86</v>
      </c>
      <c r="E28" s="41" t="s">
        <v>130</v>
      </c>
      <c r="F28" s="55" t="s">
        <v>412</v>
      </c>
      <c r="G28" s="3" t="s">
        <v>16</v>
      </c>
      <c r="H28" s="69">
        <v>1</v>
      </c>
      <c r="I28" s="7" t="s">
        <v>426</v>
      </c>
      <c r="J28" s="36" t="s">
        <v>158</v>
      </c>
    </row>
    <row r="29" spans="1:10" ht="18" customHeight="1">
      <c r="A29" s="118"/>
      <c r="B29" s="108"/>
      <c r="C29" s="108"/>
      <c r="D29" s="35" t="s">
        <v>87</v>
      </c>
      <c r="E29" s="41" t="s">
        <v>131</v>
      </c>
      <c r="F29" s="55" t="s">
        <v>412</v>
      </c>
      <c r="G29" s="3" t="s">
        <v>16</v>
      </c>
      <c r="H29" s="69">
        <v>1</v>
      </c>
      <c r="I29" s="7" t="s">
        <v>426</v>
      </c>
      <c r="J29" s="36" t="s">
        <v>159</v>
      </c>
    </row>
    <row r="30" spans="1:10" ht="18" customHeight="1">
      <c r="A30" s="118"/>
      <c r="B30" s="108"/>
      <c r="C30" s="108"/>
      <c r="D30" s="35" t="s">
        <v>88</v>
      </c>
      <c r="E30" s="41" t="s">
        <v>198</v>
      </c>
      <c r="F30" s="55" t="s">
        <v>412</v>
      </c>
      <c r="G30" s="3" t="s">
        <v>16</v>
      </c>
      <c r="H30" s="69">
        <v>1</v>
      </c>
      <c r="I30" s="7" t="s">
        <v>426</v>
      </c>
      <c r="J30" s="36" t="s">
        <v>160</v>
      </c>
    </row>
    <row r="31" spans="1:10" ht="18" customHeight="1">
      <c r="A31" s="118"/>
      <c r="B31" s="108"/>
      <c r="C31" s="108"/>
      <c r="D31" s="35" t="s">
        <v>89</v>
      </c>
      <c r="E31" s="41" t="s">
        <v>199</v>
      </c>
      <c r="F31" s="55" t="s">
        <v>412</v>
      </c>
      <c r="G31" s="3" t="s">
        <v>16</v>
      </c>
      <c r="H31" s="69">
        <v>2</v>
      </c>
      <c r="I31" s="7" t="s">
        <v>426</v>
      </c>
      <c r="J31" s="36" t="s">
        <v>161</v>
      </c>
    </row>
    <row r="32" spans="1:10" ht="18" customHeight="1">
      <c r="A32" s="118"/>
      <c r="B32" s="108"/>
      <c r="C32" s="108"/>
      <c r="D32" s="35" t="s">
        <v>90</v>
      </c>
      <c r="E32" s="42" t="s">
        <v>200</v>
      </c>
      <c r="F32" s="55" t="s">
        <v>412</v>
      </c>
      <c r="G32" s="3" t="s">
        <v>16</v>
      </c>
      <c r="H32" s="69">
        <v>1</v>
      </c>
      <c r="I32" s="7" t="s">
        <v>426</v>
      </c>
      <c r="J32" s="36" t="s">
        <v>162</v>
      </c>
    </row>
    <row r="33" spans="1:10" ht="18" customHeight="1">
      <c r="A33" s="118"/>
      <c r="B33" s="108"/>
      <c r="C33" s="108"/>
      <c r="D33" s="35" t="s">
        <v>91</v>
      </c>
      <c r="E33" s="39" t="s">
        <v>201</v>
      </c>
      <c r="F33" s="55" t="s">
        <v>412</v>
      </c>
      <c r="G33" s="3" t="s">
        <v>16</v>
      </c>
      <c r="H33" s="69">
        <v>3</v>
      </c>
      <c r="I33" s="7" t="s">
        <v>426</v>
      </c>
      <c r="J33" s="36" t="s">
        <v>163</v>
      </c>
    </row>
    <row r="34" spans="1:10" ht="18" customHeight="1">
      <c r="A34" s="118"/>
      <c r="B34" s="108"/>
      <c r="C34" s="108"/>
      <c r="D34" s="34" t="s">
        <v>92</v>
      </c>
      <c r="E34" s="39" t="s">
        <v>202</v>
      </c>
      <c r="F34" s="55" t="s">
        <v>412</v>
      </c>
      <c r="G34" s="3" t="s">
        <v>16</v>
      </c>
      <c r="H34" s="69">
        <v>4</v>
      </c>
      <c r="I34" s="7" t="s">
        <v>426</v>
      </c>
      <c r="J34" s="36" t="s">
        <v>164</v>
      </c>
    </row>
    <row r="35" spans="1:10" ht="18" customHeight="1">
      <c r="A35" s="118"/>
      <c r="B35" s="108"/>
      <c r="C35" s="108"/>
      <c r="D35" s="34" t="s">
        <v>93</v>
      </c>
      <c r="E35" s="39" t="s">
        <v>203</v>
      </c>
      <c r="F35" s="55" t="s">
        <v>412</v>
      </c>
      <c r="G35" s="3" t="s">
        <v>16</v>
      </c>
      <c r="H35" s="69">
        <v>3</v>
      </c>
      <c r="I35" s="7" t="s">
        <v>426</v>
      </c>
      <c r="J35" s="5" t="s">
        <v>165</v>
      </c>
    </row>
    <row r="36" spans="1:10" ht="18" customHeight="1">
      <c r="A36" s="118"/>
      <c r="B36" s="108"/>
      <c r="C36" s="108"/>
      <c r="D36" s="34" t="s">
        <v>94</v>
      </c>
      <c r="E36" s="39" t="s">
        <v>204</v>
      </c>
      <c r="F36" s="63" t="s">
        <v>412</v>
      </c>
      <c r="G36" s="3" t="s">
        <v>16</v>
      </c>
      <c r="H36" s="69">
        <v>3</v>
      </c>
      <c r="I36" s="7" t="s">
        <v>426</v>
      </c>
      <c r="J36" s="5" t="s">
        <v>166</v>
      </c>
    </row>
    <row r="37" spans="1:10" ht="18" customHeight="1">
      <c r="A37" s="118"/>
      <c r="B37" s="108"/>
      <c r="C37" s="108"/>
      <c r="D37" s="35" t="s">
        <v>95</v>
      </c>
      <c r="E37" s="39" t="s">
        <v>205</v>
      </c>
      <c r="F37" s="55" t="s">
        <v>412</v>
      </c>
      <c r="G37" s="3" t="s">
        <v>16</v>
      </c>
      <c r="H37" s="69">
        <v>4</v>
      </c>
      <c r="I37" s="7" t="s">
        <v>426</v>
      </c>
      <c r="J37" s="37" t="s">
        <v>167</v>
      </c>
    </row>
    <row r="38" spans="1:10" ht="18" customHeight="1">
      <c r="A38" s="118"/>
      <c r="B38" s="108"/>
      <c r="C38" s="108"/>
      <c r="D38" s="35" t="s">
        <v>96</v>
      </c>
      <c r="E38" s="39" t="s">
        <v>206</v>
      </c>
      <c r="F38" s="55" t="s">
        <v>412</v>
      </c>
      <c r="G38" s="3" t="s">
        <v>16</v>
      </c>
      <c r="H38" s="69">
        <v>3</v>
      </c>
      <c r="I38" s="7" t="s">
        <v>426</v>
      </c>
      <c r="J38" s="37" t="s">
        <v>168</v>
      </c>
    </row>
    <row r="39" spans="1:10" ht="18" customHeight="1">
      <c r="A39" s="118"/>
      <c r="B39" s="108"/>
      <c r="C39" s="108"/>
      <c r="D39" s="35" t="s">
        <v>97</v>
      </c>
      <c r="E39" s="42" t="s">
        <v>207</v>
      </c>
      <c r="F39" s="55" t="s">
        <v>412</v>
      </c>
      <c r="G39" s="3" t="s">
        <v>16</v>
      </c>
      <c r="H39" s="69">
        <v>2</v>
      </c>
      <c r="I39" s="7" t="s">
        <v>426</v>
      </c>
      <c r="J39" s="37" t="s">
        <v>169</v>
      </c>
    </row>
    <row r="40" spans="1:10" ht="18" customHeight="1">
      <c r="A40" s="118"/>
      <c r="B40" s="108"/>
      <c r="C40" s="108"/>
      <c r="D40" s="35" t="s">
        <v>98</v>
      </c>
      <c r="E40" s="39" t="s">
        <v>208</v>
      </c>
      <c r="F40" s="55" t="s">
        <v>412</v>
      </c>
      <c r="G40" s="3" t="s">
        <v>16</v>
      </c>
      <c r="H40" s="69">
        <v>1</v>
      </c>
      <c r="I40" s="7" t="s">
        <v>426</v>
      </c>
      <c r="J40" s="37" t="s">
        <v>170</v>
      </c>
    </row>
    <row r="41" spans="1:10" ht="18" customHeight="1">
      <c r="A41" s="118"/>
      <c r="B41" s="108"/>
      <c r="C41" s="108"/>
      <c r="D41" s="35" t="s">
        <v>99</v>
      </c>
      <c r="E41" s="39" t="s">
        <v>209</v>
      </c>
      <c r="F41" s="55" t="s">
        <v>412</v>
      </c>
      <c r="G41" s="3" t="s">
        <v>16</v>
      </c>
      <c r="H41" s="69">
        <v>3</v>
      </c>
      <c r="I41" s="7" t="s">
        <v>426</v>
      </c>
      <c r="J41" s="37" t="s">
        <v>171</v>
      </c>
    </row>
    <row r="42" spans="1:10" ht="29" customHeight="1">
      <c r="A42" s="118"/>
      <c r="B42" s="108"/>
      <c r="C42" s="108"/>
      <c r="D42" s="35" t="s">
        <v>100</v>
      </c>
      <c r="E42" s="39" t="s">
        <v>210</v>
      </c>
      <c r="F42" s="55" t="s">
        <v>412</v>
      </c>
      <c r="G42" s="3" t="s">
        <v>16</v>
      </c>
      <c r="H42" s="69">
        <v>1</v>
      </c>
      <c r="I42" s="7" t="s">
        <v>426</v>
      </c>
      <c r="J42" s="37" t="s">
        <v>172</v>
      </c>
    </row>
    <row r="43" spans="1:10" ht="18" customHeight="1">
      <c r="A43" s="118"/>
      <c r="B43" s="108"/>
      <c r="C43" s="109"/>
      <c r="D43" s="52" t="s">
        <v>444</v>
      </c>
      <c r="E43" s="53" t="s">
        <v>445</v>
      </c>
      <c r="F43" s="55" t="s">
        <v>412</v>
      </c>
      <c r="G43" s="3" t="s">
        <v>16</v>
      </c>
      <c r="H43" s="69">
        <v>60</v>
      </c>
      <c r="I43" s="7" t="s">
        <v>428</v>
      </c>
      <c r="J43" s="54" t="s">
        <v>446</v>
      </c>
    </row>
    <row r="44" spans="1:10" ht="16" customHeight="1">
      <c r="A44" s="118"/>
      <c r="B44" s="108"/>
      <c r="C44" s="107" t="s">
        <v>359</v>
      </c>
      <c r="D44" s="52" t="s">
        <v>23</v>
      </c>
      <c r="E44" s="53" t="s">
        <v>447</v>
      </c>
      <c r="F44" s="55" t="s">
        <v>412</v>
      </c>
      <c r="G44" s="3" t="s">
        <v>18</v>
      </c>
      <c r="H44" s="69">
        <v>30</v>
      </c>
      <c r="I44" s="7" t="s">
        <v>426</v>
      </c>
      <c r="J44" s="54" t="s">
        <v>503</v>
      </c>
    </row>
    <row r="45" spans="1:10" ht="16" customHeight="1">
      <c r="A45" s="118"/>
      <c r="B45" s="108"/>
      <c r="C45" s="108"/>
      <c r="D45" s="35" t="s">
        <v>101</v>
      </c>
      <c r="E45" s="39" t="s">
        <v>211</v>
      </c>
      <c r="F45" s="55" t="s">
        <v>412</v>
      </c>
      <c r="G45" s="3" t="s">
        <v>16</v>
      </c>
      <c r="H45" s="69">
        <v>1</v>
      </c>
      <c r="I45" s="7" t="s">
        <v>426</v>
      </c>
      <c r="J45" s="37" t="s">
        <v>173</v>
      </c>
    </row>
    <row r="46" spans="1:10" ht="16" customHeight="1">
      <c r="A46" s="118"/>
      <c r="B46" s="108"/>
      <c r="C46" s="108"/>
      <c r="D46" s="35" t="s">
        <v>102</v>
      </c>
      <c r="E46" s="39" t="s">
        <v>212</v>
      </c>
      <c r="F46" s="55" t="s">
        <v>412</v>
      </c>
      <c r="G46" s="3" t="s">
        <v>16</v>
      </c>
      <c r="H46" s="69">
        <v>1</v>
      </c>
      <c r="I46" s="7" t="s">
        <v>426</v>
      </c>
      <c r="J46" s="37" t="s">
        <v>174</v>
      </c>
    </row>
    <row r="47" spans="1:10" ht="16" customHeight="1">
      <c r="A47" s="118"/>
      <c r="B47" s="108"/>
      <c r="C47" s="108"/>
      <c r="D47" s="35" t="s">
        <v>103</v>
      </c>
      <c r="E47" s="39" t="s">
        <v>213</v>
      </c>
      <c r="F47" s="55" t="s">
        <v>412</v>
      </c>
      <c r="G47" s="3" t="s">
        <v>16</v>
      </c>
      <c r="H47" s="69">
        <v>2</v>
      </c>
      <c r="I47" s="7" t="s">
        <v>426</v>
      </c>
      <c r="J47" s="37" t="s">
        <v>175</v>
      </c>
    </row>
    <row r="48" spans="1:10" ht="16" customHeight="1">
      <c r="A48" s="118"/>
      <c r="B48" s="108"/>
      <c r="C48" s="108"/>
      <c r="D48" s="35" t="s">
        <v>104</v>
      </c>
      <c r="E48" s="42" t="s">
        <v>214</v>
      </c>
      <c r="F48" s="55" t="s">
        <v>412</v>
      </c>
      <c r="G48" s="3" t="s">
        <v>16</v>
      </c>
      <c r="H48" s="69">
        <v>1</v>
      </c>
      <c r="I48" s="7" t="s">
        <v>426</v>
      </c>
      <c r="J48" s="37" t="s">
        <v>176</v>
      </c>
    </row>
    <row r="49" spans="1:10" ht="16" customHeight="1">
      <c r="A49" s="118"/>
      <c r="B49" s="108"/>
      <c r="C49" s="108"/>
      <c r="D49" s="35" t="s">
        <v>105</v>
      </c>
      <c r="E49" s="39" t="s">
        <v>215</v>
      </c>
      <c r="F49" s="55" t="s">
        <v>412</v>
      </c>
      <c r="G49" s="3" t="s">
        <v>16</v>
      </c>
      <c r="H49" s="69">
        <v>1</v>
      </c>
      <c r="I49" s="7" t="s">
        <v>426</v>
      </c>
      <c r="J49" s="37" t="s">
        <v>177</v>
      </c>
    </row>
    <row r="50" spans="1:10" ht="16" customHeight="1">
      <c r="A50" s="118"/>
      <c r="B50" s="108"/>
      <c r="C50" s="108"/>
      <c r="D50" s="35" t="s">
        <v>106</v>
      </c>
      <c r="E50" s="39" t="s">
        <v>216</v>
      </c>
      <c r="F50" s="55" t="s">
        <v>412</v>
      </c>
      <c r="G50" s="3" t="s">
        <v>16</v>
      </c>
      <c r="H50" s="69">
        <v>4</v>
      </c>
      <c r="I50" s="7" t="s">
        <v>426</v>
      </c>
      <c r="J50" s="37" t="s">
        <v>178</v>
      </c>
    </row>
    <row r="51" spans="1:10" ht="16" customHeight="1">
      <c r="A51" s="118"/>
      <c r="B51" s="108"/>
      <c r="C51" s="108"/>
      <c r="D51" s="35" t="s">
        <v>107</v>
      </c>
      <c r="E51" s="39" t="s">
        <v>217</v>
      </c>
      <c r="F51" s="55" t="s">
        <v>412</v>
      </c>
      <c r="G51" s="3" t="s">
        <v>16</v>
      </c>
      <c r="H51" s="69">
        <v>3</v>
      </c>
      <c r="I51" s="7" t="s">
        <v>426</v>
      </c>
      <c r="J51" s="75" t="s">
        <v>179</v>
      </c>
    </row>
    <row r="52" spans="1:10" ht="16" customHeight="1">
      <c r="A52" s="118"/>
      <c r="B52" s="108"/>
      <c r="C52" s="108"/>
      <c r="D52" s="35" t="s">
        <v>108</v>
      </c>
      <c r="E52" s="39" t="s">
        <v>218</v>
      </c>
      <c r="F52" s="55" t="s">
        <v>412</v>
      </c>
      <c r="G52" s="3" t="s">
        <v>16</v>
      </c>
      <c r="H52" s="69">
        <v>3</v>
      </c>
      <c r="I52" s="7" t="s">
        <v>426</v>
      </c>
      <c r="J52" s="37" t="s">
        <v>180</v>
      </c>
    </row>
    <row r="53" spans="1:10" ht="16" customHeight="1">
      <c r="A53" s="118"/>
      <c r="B53" s="108"/>
      <c r="C53" s="108"/>
      <c r="D53" s="35" t="s">
        <v>109</v>
      </c>
      <c r="E53" s="39" t="s">
        <v>219</v>
      </c>
      <c r="F53" s="55" t="s">
        <v>412</v>
      </c>
      <c r="G53" s="3" t="s">
        <v>16</v>
      </c>
      <c r="H53" s="69">
        <v>1</v>
      </c>
      <c r="I53" s="7" t="s">
        <v>426</v>
      </c>
      <c r="J53" s="37" t="s">
        <v>181</v>
      </c>
    </row>
    <row r="54" spans="1:10" ht="16" customHeight="1">
      <c r="A54" s="118"/>
      <c r="B54" s="108"/>
      <c r="C54" s="108"/>
      <c r="D54" s="35" t="s">
        <v>110</v>
      </c>
      <c r="E54" s="39" t="s">
        <v>220</v>
      </c>
      <c r="F54" s="55" t="s">
        <v>412</v>
      </c>
      <c r="G54" s="3" t="s">
        <v>16</v>
      </c>
      <c r="H54" s="69">
        <v>1</v>
      </c>
      <c r="I54" s="7" t="s">
        <v>426</v>
      </c>
      <c r="J54" s="37" t="s">
        <v>182</v>
      </c>
    </row>
    <row r="55" spans="1:10" ht="16" customHeight="1">
      <c r="A55" s="118"/>
      <c r="B55" s="108"/>
      <c r="C55" s="108"/>
      <c r="D55" s="35" t="s">
        <v>111</v>
      </c>
      <c r="E55" s="39" t="s">
        <v>221</v>
      </c>
      <c r="F55" s="55" t="s">
        <v>412</v>
      </c>
      <c r="G55" s="3" t="s">
        <v>16</v>
      </c>
      <c r="H55" s="69">
        <v>1</v>
      </c>
      <c r="I55" s="7" t="s">
        <v>426</v>
      </c>
      <c r="J55" s="37" t="s">
        <v>183</v>
      </c>
    </row>
    <row r="56" spans="1:10" ht="16" customHeight="1">
      <c r="A56" s="118"/>
      <c r="B56" s="108"/>
      <c r="C56" s="108"/>
      <c r="D56" s="35" t="s">
        <v>112</v>
      </c>
      <c r="E56" s="39" t="s">
        <v>222</v>
      </c>
      <c r="F56" s="55" t="s">
        <v>412</v>
      </c>
      <c r="G56" s="3" t="s">
        <v>16</v>
      </c>
      <c r="H56" s="69">
        <v>1</v>
      </c>
      <c r="I56" s="7" t="s">
        <v>426</v>
      </c>
      <c r="J56" s="37" t="s">
        <v>184</v>
      </c>
    </row>
    <row r="57" spans="1:10" ht="16" customHeight="1">
      <c r="A57" s="118"/>
      <c r="B57" s="108"/>
      <c r="C57" s="108"/>
      <c r="D57" s="35" t="s">
        <v>113</v>
      </c>
      <c r="E57" s="39" t="s">
        <v>224</v>
      </c>
      <c r="F57" s="55" t="s">
        <v>412</v>
      </c>
      <c r="G57" s="3" t="s">
        <v>16</v>
      </c>
      <c r="H57" s="69">
        <v>1</v>
      </c>
      <c r="I57" s="7" t="s">
        <v>426</v>
      </c>
      <c r="J57" s="37" t="s">
        <v>185</v>
      </c>
    </row>
    <row r="58" spans="1:10" ht="16" customHeight="1">
      <c r="A58" s="118"/>
      <c r="B58" s="108"/>
      <c r="C58" s="108"/>
      <c r="D58" s="35" t="s">
        <v>114</v>
      </c>
      <c r="E58" s="39" t="s">
        <v>357</v>
      </c>
      <c r="F58" s="55" t="s">
        <v>412</v>
      </c>
      <c r="G58" s="3" t="s">
        <v>16</v>
      </c>
      <c r="H58" s="69">
        <v>1</v>
      </c>
      <c r="I58" s="7" t="s">
        <v>426</v>
      </c>
      <c r="J58" s="37" t="s">
        <v>186</v>
      </c>
    </row>
    <row r="59" spans="1:10" ht="16" customHeight="1">
      <c r="A59" s="118"/>
      <c r="B59" s="108"/>
      <c r="C59" s="108"/>
      <c r="D59" s="35" t="s">
        <v>115</v>
      </c>
      <c r="E59" s="39" t="s">
        <v>223</v>
      </c>
      <c r="F59" s="55" t="s">
        <v>412</v>
      </c>
      <c r="G59" s="3" t="s">
        <v>16</v>
      </c>
      <c r="H59" s="69">
        <v>1</v>
      </c>
      <c r="I59" s="7" t="s">
        <v>426</v>
      </c>
      <c r="J59" s="37" t="s">
        <v>187</v>
      </c>
    </row>
    <row r="60" spans="1:10" ht="16" customHeight="1">
      <c r="A60" s="118"/>
      <c r="B60" s="108"/>
      <c r="C60" s="108"/>
      <c r="D60" s="35" t="s">
        <v>116</v>
      </c>
      <c r="E60" s="39" t="s">
        <v>225</v>
      </c>
      <c r="F60" s="55" t="s">
        <v>412</v>
      </c>
      <c r="G60" s="3" t="s">
        <v>16</v>
      </c>
      <c r="H60" s="69">
        <v>1</v>
      </c>
      <c r="I60" s="7" t="s">
        <v>426</v>
      </c>
      <c r="J60" s="37" t="s">
        <v>188</v>
      </c>
    </row>
    <row r="61" spans="1:10" ht="16" customHeight="1">
      <c r="A61" s="118"/>
      <c r="B61" s="108"/>
      <c r="C61" s="108"/>
      <c r="D61" s="35" t="s">
        <v>117</v>
      </c>
      <c r="E61" s="39" t="s">
        <v>226</v>
      </c>
      <c r="F61" s="55" t="s">
        <v>412</v>
      </c>
      <c r="G61" s="3" t="s">
        <v>16</v>
      </c>
      <c r="H61" s="69">
        <v>1</v>
      </c>
      <c r="I61" s="7" t="s">
        <v>426</v>
      </c>
      <c r="J61" s="37" t="s">
        <v>189</v>
      </c>
    </row>
    <row r="62" spans="1:10" ht="16" customHeight="1">
      <c r="A62" s="118"/>
      <c r="B62" s="108"/>
      <c r="C62" s="108"/>
      <c r="D62" s="35" t="s">
        <v>118</v>
      </c>
      <c r="E62" s="42" t="s">
        <v>227</v>
      </c>
      <c r="F62" s="55" t="s">
        <v>412</v>
      </c>
      <c r="G62" s="3" t="s">
        <v>16</v>
      </c>
      <c r="H62" s="69">
        <v>2</v>
      </c>
      <c r="I62" s="7" t="s">
        <v>426</v>
      </c>
      <c r="J62" s="37" t="s">
        <v>190</v>
      </c>
    </row>
    <row r="63" spans="1:10" ht="16" customHeight="1">
      <c r="A63" s="118"/>
      <c r="B63" s="108"/>
      <c r="C63" s="108"/>
      <c r="D63" s="35" t="s">
        <v>119</v>
      </c>
      <c r="E63" s="39" t="s">
        <v>228</v>
      </c>
      <c r="F63" s="55" t="s">
        <v>412</v>
      </c>
      <c r="G63" s="3" t="s">
        <v>16</v>
      </c>
      <c r="H63" s="69">
        <v>2</v>
      </c>
      <c r="I63" s="7" t="s">
        <v>426</v>
      </c>
      <c r="J63" s="37" t="s">
        <v>191</v>
      </c>
    </row>
    <row r="64" spans="1:10" ht="16" customHeight="1">
      <c r="A64" s="118"/>
      <c r="B64" s="108"/>
      <c r="C64" s="108"/>
      <c r="D64" s="35" t="s">
        <v>120</v>
      </c>
      <c r="E64" s="39" t="s">
        <v>229</v>
      </c>
      <c r="F64" s="55" t="s">
        <v>412</v>
      </c>
      <c r="G64" s="3" t="s">
        <v>16</v>
      </c>
      <c r="H64" s="69">
        <v>2</v>
      </c>
      <c r="I64" s="7" t="s">
        <v>426</v>
      </c>
      <c r="J64" s="37" t="s">
        <v>192</v>
      </c>
    </row>
    <row r="65" spans="1:10" ht="16" customHeight="1">
      <c r="A65" s="118"/>
      <c r="B65" s="108"/>
      <c r="C65" s="108"/>
      <c r="D65" s="35" t="s">
        <v>121</v>
      </c>
      <c r="E65" s="39" t="s">
        <v>230</v>
      </c>
      <c r="F65" s="55" t="s">
        <v>412</v>
      </c>
      <c r="G65" s="3" t="s">
        <v>16</v>
      </c>
      <c r="H65" s="69">
        <v>2</v>
      </c>
      <c r="I65" s="7" t="s">
        <v>426</v>
      </c>
      <c r="J65" s="75" t="s">
        <v>193</v>
      </c>
    </row>
    <row r="66" spans="1:10" ht="16" customHeight="1">
      <c r="A66" s="118"/>
      <c r="B66" s="108"/>
      <c r="C66" s="108"/>
      <c r="D66" s="35" t="s">
        <v>122</v>
      </c>
      <c r="E66" s="39" t="s">
        <v>231</v>
      </c>
      <c r="F66" s="55" t="s">
        <v>412</v>
      </c>
      <c r="G66" s="3" t="s">
        <v>16</v>
      </c>
      <c r="H66" s="69">
        <v>1</v>
      </c>
      <c r="I66" s="7" t="s">
        <v>426</v>
      </c>
      <c r="J66" s="37" t="s">
        <v>194</v>
      </c>
    </row>
    <row r="67" spans="1:10" ht="16" customHeight="1">
      <c r="A67" s="118"/>
      <c r="B67" s="108"/>
      <c r="C67" s="108"/>
      <c r="D67" s="35" t="s">
        <v>123</v>
      </c>
      <c r="E67" s="39" t="s">
        <v>232</v>
      </c>
      <c r="F67" s="55" t="s">
        <v>412</v>
      </c>
      <c r="G67" s="3" t="s">
        <v>16</v>
      </c>
      <c r="H67" s="69">
        <v>1</v>
      </c>
      <c r="I67" s="7" t="s">
        <v>426</v>
      </c>
      <c r="J67" s="37" t="s">
        <v>195</v>
      </c>
    </row>
    <row r="68" spans="1:10" ht="16" customHeight="1">
      <c r="A68" s="118"/>
      <c r="B68" s="108"/>
      <c r="C68" s="108"/>
      <c r="D68" s="35" t="s">
        <v>124</v>
      </c>
      <c r="E68" s="39" t="s">
        <v>233</v>
      </c>
      <c r="F68" s="55" t="s">
        <v>412</v>
      </c>
      <c r="G68" s="3" t="s">
        <v>16</v>
      </c>
      <c r="H68" s="69">
        <v>1</v>
      </c>
      <c r="I68" s="7" t="s">
        <v>426</v>
      </c>
      <c r="J68" s="37" t="s">
        <v>196</v>
      </c>
    </row>
    <row r="69" spans="1:10" ht="16" customHeight="1">
      <c r="A69" s="118"/>
      <c r="B69" s="108"/>
      <c r="C69" s="108"/>
      <c r="D69" s="35" t="s">
        <v>125</v>
      </c>
      <c r="E69" s="4" t="s">
        <v>234</v>
      </c>
      <c r="F69" s="55" t="s">
        <v>412</v>
      </c>
      <c r="G69" s="3" t="s">
        <v>16</v>
      </c>
      <c r="H69" s="69">
        <v>1</v>
      </c>
      <c r="I69" s="7" t="s">
        <v>426</v>
      </c>
      <c r="J69" s="37" t="s">
        <v>197</v>
      </c>
    </row>
    <row r="70" spans="1:10" ht="25">
      <c r="A70" s="118"/>
      <c r="B70" s="108"/>
      <c r="C70" s="108"/>
      <c r="D70" s="72" t="s">
        <v>17</v>
      </c>
      <c r="E70" s="57" t="s">
        <v>448</v>
      </c>
      <c r="F70" s="55" t="s">
        <v>412</v>
      </c>
      <c r="G70" s="3" t="s">
        <v>17</v>
      </c>
      <c r="H70" s="69">
        <v>120</v>
      </c>
      <c r="I70" s="7" t="s">
        <v>428</v>
      </c>
      <c r="J70" s="54" t="s">
        <v>494</v>
      </c>
    </row>
    <row r="71" spans="1:10" ht="13">
      <c r="A71" s="117" t="s">
        <v>59</v>
      </c>
      <c r="B71" s="107" t="s">
        <v>361</v>
      </c>
      <c r="C71" s="107" t="s">
        <v>360</v>
      </c>
      <c r="D71" s="52" t="s">
        <v>23</v>
      </c>
      <c r="E71" s="57" t="s">
        <v>449</v>
      </c>
      <c r="F71" s="55" t="s">
        <v>412</v>
      </c>
      <c r="G71" s="3" t="s">
        <v>18</v>
      </c>
      <c r="H71" s="69">
        <v>30</v>
      </c>
      <c r="I71" s="7" t="s">
        <v>426</v>
      </c>
      <c r="J71" s="54" t="s">
        <v>503</v>
      </c>
    </row>
    <row r="72" spans="1:10" ht="18.5" customHeight="1">
      <c r="A72" s="118"/>
      <c r="B72" s="108"/>
      <c r="C72" s="108"/>
      <c r="D72" s="35" t="s">
        <v>61</v>
      </c>
      <c r="E72" s="39"/>
      <c r="F72" s="55" t="s">
        <v>412</v>
      </c>
      <c r="G72" s="3" t="s">
        <v>16</v>
      </c>
      <c r="H72" s="69">
        <v>1</v>
      </c>
      <c r="I72" s="7" t="s">
        <v>426</v>
      </c>
      <c r="J72" s="37" t="s">
        <v>365</v>
      </c>
    </row>
    <row r="73" spans="1:10" ht="18.5" customHeight="1">
      <c r="A73" s="118"/>
      <c r="B73" s="108"/>
      <c r="C73" s="108"/>
      <c r="D73" s="35" t="s">
        <v>265</v>
      </c>
      <c r="E73" s="39"/>
      <c r="F73" s="55" t="s">
        <v>412</v>
      </c>
      <c r="G73" s="3" t="s">
        <v>16</v>
      </c>
      <c r="H73" s="69">
        <v>1</v>
      </c>
      <c r="I73" s="7" t="s">
        <v>426</v>
      </c>
      <c r="J73" s="37" t="s">
        <v>366</v>
      </c>
    </row>
    <row r="74" spans="1:10" ht="18.5" customHeight="1">
      <c r="A74" s="118"/>
      <c r="B74" s="108"/>
      <c r="C74" s="108"/>
      <c r="D74" s="35" t="s">
        <v>383</v>
      </c>
      <c r="E74" s="39" t="s">
        <v>396</v>
      </c>
      <c r="F74" s="55" t="s">
        <v>412</v>
      </c>
      <c r="G74" s="3" t="s">
        <v>16</v>
      </c>
      <c r="H74" s="69">
        <v>2</v>
      </c>
      <c r="I74" s="7" t="s">
        <v>426</v>
      </c>
      <c r="J74" s="37" t="s">
        <v>367</v>
      </c>
    </row>
    <row r="75" spans="1:10" ht="18.5" customHeight="1">
      <c r="A75" s="118"/>
      <c r="B75" s="108"/>
      <c r="C75" s="108"/>
      <c r="D75" s="35" t="s">
        <v>384</v>
      </c>
      <c r="E75" s="39" t="s">
        <v>397</v>
      </c>
      <c r="F75" s="55" t="s">
        <v>412</v>
      </c>
      <c r="G75" s="3" t="s">
        <v>16</v>
      </c>
      <c r="H75" s="69">
        <v>5</v>
      </c>
      <c r="I75" s="7" t="s">
        <v>426</v>
      </c>
      <c r="J75" s="37" t="s">
        <v>368</v>
      </c>
    </row>
    <row r="76" spans="1:10" ht="18.5" customHeight="1">
      <c r="A76" s="118"/>
      <c r="B76" s="108"/>
      <c r="C76" s="108"/>
      <c r="D76" s="35" t="s">
        <v>385</v>
      </c>
      <c r="E76" s="39" t="s">
        <v>398</v>
      </c>
      <c r="F76" s="55" t="s">
        <v>412</v>
      </c>
      <c r="G76" s="3" t="s">
        <v>16</v>
      </c>
      <c r="H76" s="69">
        <v>3</v>
      </c>
      <c r="I76" s="7" t="s">
        <v>426</v>
      </c>
      <c r="J76" s="37" t="s">
        <v>369</v>
      </c>
    </row>
    <row r="77" spans="1:10" ht="18.5" customHeight="1">
      <c r="A77" s="118"/>
      <c r="B77" s="108"/>
      <c r="C77" s="108"/>
      <c r="D77" s="35" t="s">
        <v>386</v>
      </c>
      <c r="E77" s="39" t="s">
        <v>399</v>
      </c>
      <c r="F77" s="55" t="s">
        <v>412</v>
      </c>
      <c r="G77" s="3" t="s">
        <v>16</v>
      </c>
      <c r="H77" s="69">
        <v>4</v>
      </c>
      <c r="I77" s="7" t="s">
        <v>426</v>
      </c>
      <c r="J77" s="37" t="s">
        <v>370</v>
      </c>
    </row>
    <row r="78" spans="1:10" ht="18.5" customHeight="1">
      <c r="A78" s="118"/>
      <c r="B78" s="108"/>
      <c r="C78" s="108"/>
      <c r="D78" s="35" t="s">
        <v>387</v>
      </c>
      <c r="E78" s="39" t="s">
        <v>400</v>
      </c>
      <c r="F78" s="55" t="s">
        <v>412</v>
      </c>
      <c r="G78" s="3" t="s">
        <v>16</v>
      </c>
      <c r="H78" s="69">
        <v>3</v>
      </c>
      <c r="I78" s="7" t="s">
        <v>426</v>
      </c>
      <c r="J78" s="37" t="s">
        <v>371</v>
      </c>
    </row>
    <row r="79" spans="1:10" ht="18.5" customHeight="1">
      <c r="A79" s="118"/>
      <c r="B79" s="108"/>
      <c r="C79" s="108"/>
      <c r="D79" s="34" t="s">
        <v>388</v>
      </c>
      <c r="E79" s="39" t="s">
        <v>401</v>
      </c>
      <c r="F79" s="55" t="s">
        <v>412</v>
      </c>
      <c r="G79" s="3" t="s">
        <v>16</v>
      </c>
      <c r="H79" s="69">
        <v>1</v>
      </c>
      <c r="I79" s="7" t="s">
        <v>426</v>
      </c>
      <c r="J79" s="5" t="s">
        <v>372</v>
      </c>
    </row>
    <row r="80" spans="1:10" ht="18.5" customHeight="1">
      <c r="A80" s="118"/>
      <c r="B80" s="108"/>
      <c r="C80" s="108"/>
      <c r="D80" s="34" t="s">
        <v>389</v>
      </c>
      <c r="E80" s="39" t="s">
        <v>402</v>
      </c>
      <c r="F80" s="55" t="s">
        <v>412</v>
      </c>
      <c r="G80" s="3" t="s">
        <v>16</v>
      </c>
      <c r="H80" s="69">
        <v>5</v>
      </c>
      <c r="I80" s="7" t="s">
        <v>426</v>
      </c>
      <c r="J80" s="5" t="s">
        <v>373</v>
      </c>
    </row>
    <row r="81" spans="1:10" ht="18.5" customHeight="1">
      <c r="A81" s="118"/>
      <c r="B81" s="108"/>
      <c r="C81" s="108"/>
      <c r="D81" s="34" t="s">
        <v>390</v>
      </c>
      <c r="E81" s="39" t="s">
        <v>403</v>
      </c>
      <c r="F81" s="55" t="s">
        <v>412</v>
      </c>
      <c r="G81" s="3" t="s">
        <v>16</v>
      </c>
      <c r="H81" s="69">
        <v>2</v>
      </c>
      <c r="I81" s="7" t="s">
        <v>426</v>
      </c>
      <c r="J81" s="5" t="s">
        <v>374</v>
      </c>
    </row>
    <row r="82" spans="1:10" ht="18.5" customHeight="1">
      <c r="A82" s="118"/>
      <c r="B82" s="108"/>
      <c r="C82" s="108"/>
      <c r="D82" s="34" t="s">
        <v>391</v>
      </c>
      <c r="E82" s="39" t="s">
        <v>404</v>
      </c>
      <c r="F82" s="55" t="s">
        <v>412</v>
      </c>
      <c r="G82" s="3" t="s">
        <v>16</v>
      </c>
      <c r="H82" s="69">
        <v>1</v>
      </c>
      <c r="I82" s="7" t="s">
        <v>426</v>
      </c>
      <c r="J82" s="5" t="s">
        <v>375</v>
      </c>
    </row>
    <row r="83" spans="1:10" ht="18.5" customHeight="1">
      <c r="A83" s="118"/>
      <c r="B83" s="108"/>
      <c r="C83" s="108"/>
      <c r="D83" s="34" t="s">
        <v>392</v>
      </c>
      <c r="E83" s="39" t="s">
        <v>405</v>
      </c>
      <c r="F83" s="55" t="s">
        <v>412</v>
      </c>
      <c r="G83" s="3" t="s">
        <v>16</v>
      </c>
      <c r="H83" s="69">
        <v>4</v>
      </c>
      <c r="I83" s="7" t="s">
        <v>426</v>
      </c>
      <c r="J83" s="5" t="s">
        <v>376</v>
      </c>
    </row>
    <row r="84" spans="1:10" ht="18.5" customHeight="1">
      <c r="A84" s="118"/>
      <c r="B84" s="108"/>
      <c r="C84" s="108"/>
      <c r="D84" s="34" t="s">
        <v>393</v>
      </c>
      <c r="E84" s="39" t="s">
        <v>406</v>
      </c>
      <c r="F84" s="55" t="s">
        <v>412</v>
      </c>
      <c r="G84" s="3" t="s">
        <v>16</v>
      </c>
      <c r="H84" s="69">
        <v>4</v>
      </c>
      <c r="I84" s="7" t="s">
        <v>426</v>
      </c>
      <c r="J84" s="5" t="s">
        <v>377</v>
      </c>
    </row>
    <row r="85" spans="1:10" ht="18.5" customHeight="1">
      <c r="A85" s="118"/>
      <c r="B85" s="108"/>
      <c r="C85" s="108"/>
      <c r="D85" s="34" t="s">
        <v>394</v>
      </c>
      <c r="E85" s="39" t="s">
        <v>407</v>
      </c>
      <c r="F85" s="55" t="s">
        <v>412</v>
      </c>
      <c r="G85" s="3" t="s">
        <v>16</v>
      </c>
      <c r="H85" s="69">
        <v>1</v>
      </c>
      <c r="I85" s="7" t="s">
        <v>426</v>
      </c>
      <c r="J85" s="5" t="s">
        <v>378</v>
      </c>
    </row>
    <row r="86" spans="1:10" ht="18.5" customHeight="1">
      <c r="A86" s="118"/>
      <c r="B86" s="108"/>
      <c r="C86" s="108"/>
      <c r="D86" s="34" t="s">
        <v>395</v>
      </c>
      <c r="E86" s="39" t="s">
        <v>408</v>
      </c>
      <c r="F86" s="55" t="s">
        <v>412</v>
      </c>
      <c r="G86" s="3" t="s">
        <v>16</v>
      </c>
      <c r="H86" s="69">
        <v>4</v>
      </c>
      <c r="I86" s="7" t="s">
        <v>426</v>
      </c>
      <c r="J86" s="5" t="s">
        <v>379</v>
      </c>
    </row>
    <row r="87" spans="1:10" ht="18.5" customHeight="1">
      <c r="A87" s="118"/>
      <c r="B87" s="108"/>
      <c r="C87" s="108"/>
      <c r="D87" s="34" t="s">
        <v>255</v>
      </c>
      <c r="E87" s="39" t="s">
        <v>289</v>
      </c>
      <c r="F87" s="55" t="s">
        <v>412</v>
      </c>
      <c r="G87" s="3" t="s">
        <v>16</v>
      </c>
      <c r="H87" s="69">
        <v>1</v>
      </c>
      <c r="I87" s="7" t="s">
        <v>426</v>
      </c>
      <c r="J87" s="37" t="s">
        <v>346</v>
      </c>
    </row>
    <row r="88" spans="1:10" ht="18.5" customHeight="1">
      <c r="A88" s="118"/>
      <c r="B88" s="108"/>
      <c r="C88" s="108"/>
      <c r="D88" s="34" t="s">
        <v>256</v>
      </c>
      <c r="E88" s="39" t="s">
        <v>290</v>
      </c>
      <c r="F88" s="55" t="s">
        <v>412</v>
      </c>
      <c r="G88" s="3" t="s">
        <v>16</v>
      </c>
      <c r="H88" s="69">
        <v>2</v>
      </c>
      <c r="I88" s="7" t="s">
        <v>426</v>
      </c>
      <c r="J88" s="37" t="s">
        <v>347</v>
      </c>
    </row>
    <row r="89" spans="1:10" ht="18.5" customHeight="1">
      <c r="A89" s="118"/>
      <c r="B89" s="108"/>
      <c r="C89" s="108"/>
      <c r="D89" s="34" t="s">
        <v>257</v>
      </c>
      <c r="E89" s="39" t="s">
        <v>291</v>
      </c>
      <c r="F89" s="55" t="s">
        <v>412</v>
      </c>
      <c r="G89" s="3" t="s">
        <v>16</v>
      </c>
      <c r="H89" s="69">
        <v>1</v>
      </c>
      <c r="I89" s="7" t="s">
        <v>426</v>
      </c>
      <c r="J89" s="37" t="s">
        <v>348</v>
      </c>
    </row>
    <row r="90" spans="1:10" ht="18.5" customHeight="1">
      <c r="A90" s="118"/>
      <c r="B90" s="108"/>
      <c r="C90" s="108"/>
      <c r="D90" s="34" t="s">
        <v>258</v>
      </c>
      <c r="E90" s="39" t="s">
        <v>292</v>
      </c>
      <c r="F90" s="55" t="s">
        <v>412</v>
      </c>
      <c r="G90" s="3" t="s">
        <v>16</v>
      </c>
      <c r="H90" s="69">
        <v>5</v>
      </c>
      <c r="I90" s="7" t="s">
        <v>426</v>
      </c>
      <c r="J90" s="37" t="s">
        <v>349</v>
      </c>
    </row>
    <row r="91" spans="1:10" ht="18.5" customHeight="1">
      <c r="A91" s="118"/>
      <c r="B91" s="108"/>
      <c r="C91" s="108"/>
      <c r="D91" s="34" t="s">
        <v>259</v>
      </c>
      <c r="E91" s="39" t="s">
        <v>293</v>
      </c>
      <c r="F91" s="55" t="s">
        <v>412</v>
      </c>
      <c r="G91" s="3" t="s">
        <v>16</v>
      </c>
      <c r="H91" s="69">
        <v>5</v>
      </c>
      <c r="I91" s="7" t="s">
        <v>426</v>
      </c>
      <c r="J91" s="37" t="s">
        <v>350</v>
      </c>
    </row>
    <row r="92" spans="1:10" ht="18.5" customHeight="1">
      <c r="A92" s="118"/>
      <c r="B92" s="108"/>
      <c r="C92" s="108"/>
      <c r="D92" s="34" t="s">
        <v>260</v>
      </c>
      <c r="E92" s="42" t="s">
        <v>294</v>
      </c>
      <c r="F92" s="55" t="s">
        <v>412</v>
      </c>
      <c r="G92" s="3" t="s">
        <v>16</v>
      </c>
      <c r="H92" s="69">
        <v>1</v>
      </c>
      <c r="I92" s="7" t="s">
        <v>426</v>
      </c>
      <c r="J92" s="37" t="s">
        <v>351</v>
      </c>
    </row>
    <row r="93" spans="1:10" ht="18.5" customHeight="1">
      <c r="A93" s="118"/>
      <c r="B93" s="108"/>
      <c r="C93" s="108"/>
      <c r="D93" s="34" t="s">
        <v>261</v>
      </c>
      <c r="E93" s="39" t="s">
        <v>295</v>
      </c>
      <c r="F93" s="55" t="s">
        <v>412</v>
      </c>
      <c r="G93" s="3" t="s">
        <v>16</v>
      </c>
      <c r="H93" s="69">
        <v>2</v>
      </c>
      <c r="I93" s="7" t="s">
        <v>426</v>
      </c>
      <c r="J93" s="37" t="s">
        <v>352</v>
      </c>
    </row>
    <row r="94" spans="1:10" ht="18.5" customHeight="1">
      <c r="A94" s="118"/>
      <c r="B94" s="108"/>
      <c r="C94" s="108"/>
      <c r="D94" s="34" t="s">
        <v>262</v>
      </c>
      <c r="E94" s="39" t="s">
        <v>296</v>
      </c>
      <c r="F94" s="55" t="s">
        <v>412</v>
      </c>
      <c r="G94" s="3" t="s">
        <v>16</v>
      </c>
      <c r="H94" s="69">
        <v>3</v>
      </c>
      <c r="I94" s="7" t="s">
        <v>426</v>
      </c>
      <c r="J94" s="37" t="s">
        <v>353</v>
      </c>
    </row>
    <row r="95" spans="1:10" ht="18.5" customHeight="1">
      <c r="A95" s="118"/>
      <c r="B95" s="108"/>
      <c r="C95" s="108"/>
      <c r="D95" s="34" t="s">
        <v>263</v>
      </c>
      <c r="E95" s="39" t="s">
        <v>297</v>
      </c>
      <c r="F95" s="55" t="s">
        <v>412</v>
      </c>
      <c r="G95" s="3" t="s">
        <v>16</v>
      </c>
      <c r="H95" s="69">
        <v>2</v>
      </c>
      <c r="I95" s="7" t="s">
        <v>426</v>
      </c>
      <c r="J95" s="37" t="s">
        <v>354</v>
      </c>
    </row>
    <row r="96" spans="1:10" ht="18.5" customHeight="1">
      <c r="A96" s="118"/>
      <c r="B96" s="108"/>
      <c r="C96" s="108"/>
      <c r="D96" s="34" t="s">
        <v>264</v>
      </c>
      <c r="E96" s="39"/>
      <c r="F96" s="55" t="s">
        <v>412</v>
      </c>
      <c r="G96" s="3" t="s">
        <v>16</v>
      </c>
      <c r="H96" s="69">
        <v>1</v>
      </c>
      <c r="I96" s="7" t="s">
        <v>426</v>
      </c>
      <c r="J96" s="37" t="s">
        <v>355</v>
      </c>
    </row>
    <row r="97" spans="1:10" ht="13">
      <c r="A97" s="50"/>
      <c r="B97" s="108"/>
      <c r="C97" s="108"/>
      <c r="D97" s="58" t="s">
        <v>444</v>
      </c>
      <c r="E97" s="53" t="s">
        <v>450</v>
      </c>
      <c r="F97" s="55" t="s">
        <v>412</v>
      </c>
      <c r="G97" s="3" t="s">
        <v>16</v>
      </c>
      <c r="H97" s="69">
        <v>90</v>
      </c>
      <c r="I97" s="7" t="s">
        <v>428</v>
      </c>
      <c r="J97" s="54" t="s">
        <v>451</v>
      </c>
    </row>
    <row r="98" spans="1:10" ht="13">
      <c r="A98" s="117" t="s">
        <v>60</v>
      </c>
      <c r="B98" s="107" t="s">
        <v>364</v>
      </c>
      <c r="C98" s="116" t="s">
        <v>495</v>
      </c>
      <c r="D98" s="58" t="s">
        <v>23</v>
      </c>
      <c r="E98" s="53" t="s">
        <v>452</v>
      </c>
      <c r="F98" s="55" t="s">
        <v>412</v>
      </c>
      <c r="G98" s="3" t="s">
        <v>18</v>
      </c>
      <c r="H98" s="69">
        <v>30</v>
      </c>
      <c r="I98" s="7" t="s">
        <v>426</v>
      </c>
      <c r="J98" s="54" t="s">
        <v>503</v>
      </c>
    </row>
    <row r="99" spans="1:10" ht="16.5" customHeight="1">
      <c r="A99" s="118"/>
      <c r="B99" s="108"/>
      <c r="C99" s="116"/>
      <c r="D99" s="47" t="s">
        <v>61</v>
      </c>
      <c r="E99" s="39"/>
      <c r="F99" s="55" t="s">
        <v>412</v>
      </c>
      <c r="G99" s="3" t="s">
        <v>16</v>
      </c>
      <c r="H99" s="69">
        <v>1</v>
      </c>
      <c r="I99" s="7" t="s">
        <v>426</v>
      </c>
      <c r="J99" s="37" t="s">
        <v>321</v>
      </c>
    </row>
    <row r="100" spans="1:10" ht="16.5" customHeight="1">
      <c r="A100" s="118"/>
      <c r="B100" s="108"/>
      <c r="C100" s="116"/>
      <c r="D100" s="47" t="s">
        <v>265</v>
      </c>
      <c r="E100" s="42" t="s">
        <v>298</v>
      </c>
      <c r="F100" s="55" t="s">
        <v>489</v>
      </c>
      <c r="G100" s="3" t="s">
        <v>16</v>
      </c>
      <c r="H100" s="69">
        <v>1</v>
      </c>
      <c r="I100" s="7" t="s">
        <v>426</v>
      </c>
      <c r="J100" s="37" t="s">
        <v>322</v>
      </c>
    </row>
    <row r="101" spans="1:10" ht="16.5" customHeight="1">
      <c r="A101" s="118"/>
      <c r="B101" s="108"/>
      <c r="C101" s="116"/>
      <c r="D101" s="47" t="s">
        <v>266</v>
      </c>
      <c r="E101" s="39" t="s">
        <v>299</v>
      </c>
      <c r="F101" s="55" t="s">
        <v>489</v>
      </c>
      <c r="G101" s="3" t="s">
        <v>16</v>
      </c>
      <c r="H101" s="69">
        <v>3</v>
      </c>
      <c r="I101" s="7" t="s">
        <v>426</v>
      </c>
      <c r="J101" s="37" t="s">
        <v>323</v>
      </c>
    </row>
    <row r="102" spans="1:10" ht="16.5" customHeight="1">
      <c r="A102" s="118"/>
      <c r="B102" s="108"/>
      <c r="C102" s="116"/>
      <c r="D102" s="47" t="s">
        <v>267</v>
      </c>
      <c r="E102" s="39" t="s">
        <v>300</v>
      </c>
      <c r="F102" s="55" t="s">
        <v>489</v>
      </c>
      <c r="G102" s="3" t="s">
        <v>16</v>
      </c>
      <c r="H102" s="69">
        <v>1</v>
      </c>
      <c r="I102" s="7" t="s">
        <v>426</v>
      </c>
      <c r="J102" s="37" t="s">
        <v>324</v>
      </c>
    </row>
    <row r="103" spans="1:10" ht="16.5" customHeight="1">
      <c r="A103" s="118"/>
      <c r="B103" s="108"/>
      <c r="C103" s="116"/>
      <c r="D103" s="47" t="s">
        <v>268</v>
      </c>
      <c r="E103" s="39" t="s">
        <v>301</v>
      </c>
      <c r="F103" s="55" t="s">
        <v>489</v>
      </c>
      <c r="G103" s="3" t="s">
        <v>16</v>
      </c>
      <c r="H103" s="69">
        <v>2</v>
      </c>
      <c r="I103" s="7" t="s">
        <v>426</v>
      </c>
      <c r="J103" s="37" t="s">
        <v>325</v>
      </c>
    </row>
    <row r="104" spans="1:10" ht="16.5" customHeight="1">
      <c r="A104" s="118"/>
      <c r="B104" s="108"/>
      <c r="C104" s="116"/>
      <c r="D104" s="47" t="s">
        <v>269</v>
      </c>
      <c r="E104" s="39" t="s">
        <v>302</v>
      </c>
      <c r="F104" s="55" t="s">
        <v>489</v>
      </c>
      <c r="G104" s="3" t="s">
        <v>16</v>
      </c>
      <c r="H104" s="69">
        <v>1</v>
      </c>
      <c r="I104" s="7" t="s">
        <v>426</v>
      </c>
      <c r="J104" s="37" t="s">
        <v>326</v>
      </c>
    </row>
    <row r="105" spans="1:10" ht="16.5" customHeight="1">
      <c r="A105" s="118"/>
      <c r="B105" s="108"/>
      <c r="C105" s="116"/>
      <c r="D105" s="47" t="s">
        <v>270</v>
      </c>
      <c r="E105" s="39" t="s">
        <v>303</v>
      </c>
      <c r="F105" s="55" t="s">
        <v>489</v>
      </c>
      <c r="G105" s="3" t="s">
        <v>16</v>
      </c>
      <c r="H105" s="69">
        <v>4</v>
      </c>
      <c r="I105" s="7" t="s">
        <v>426</v>
      </c>
      <c r="J105" s="37" t="s">
        <v>327</v>
      </c>
    </row>
    <row r="106" spans="1:10" ht="16.5" customHeight="1">
      <c r="A106" s="118"/>
      <c r="B106" s="108"/>
      <c r="C106" s="116"/>
      <c r="D106" s="47" t="s">
        <v>271</v>
      </c>
      <c r="E106" s="39" t="s">
        <v>304</v>
      </c>
      <c r="F106" s="55" t="s">
        <v>489</v>
      </c>
      <c r="G106" s="3" t="s">
        <v>16</v>
      </c>
      <c r="H106" s="69">
        <v>4</v>
      </c>
      <c r="I106" s="7" t="s">
        <v>426</v>
      </c>
      <c r="J106" s="37" t="s">
        <v>328</v>
      </c>
    </row>
    <row r="107" spans="1:10" ht="16.5" customHeight="1">
      <c r="A107" s="118"/>
      <c r="B107" s="108"/>
      <c r="C107" s="116"/>
      <c r="D107" s="47" t="s">
        <v>272</v>
      </c>
      <c r="E107" s="42" t="s">
        <v>305</v>
      </c>
      <c r="F107" s="55" t="s">
        <v>489</v>
      </c>
      <c r="G107" s="3" t="s">
        <v>16</v>
      </c>
      <c r="H107" s="69">
        <v>1</v>
      </c>
      <c r="I107" s="7" t="s">
        <v>426</v>
      </c>
      <c r="J107" s="37" t="s">
        <v>329</v>
      </c>
    </row>
    <row r="108" spans="1:10" ht="16.5" customHeight="1">
      <c r="A108" s="118"/>
      <c r="B108" s="108"/>
      <c r="C108" s="116"/>
      <c r="D108" s="47" t="s">
        <v>273</v>
      </c>
      <c r="E108" s="39" t="s">
        <v>306</v>
      </c>
      <c r="F108" s="55" t="s">
        <v>489</v>
      </c>
      <c r="G108" s="3" t="s">
        <v>16</v>
      </c>
      <c r="H108" s="69">
        <v>1</v>
      </c>
      <c r="I108" s="7" t="s">
        <v>426</v>
      </c>
      <c r="J108" s="37" t="s">
        <v>330</v>
      </c>
    </row>
    <row r="109" spans="1:10" ht="16.5" customHeight="1">
      <c r="A109" s="118"/>
      <c r="B109" s="108"/>
      <c r="C109" s="116"/>
      <c r="D109" s="47" t="s">
        <v>274</v>
      </c>
      <c r="E109" s="39" t="s">
        <v>307</v>
      </c>
      <c r="F109" s="55" t="s">
        <v>489</v>
      </c>
      <c r="G109" s="3" t="s">
        <v>16</v>
      </c>
      <c r="H109" s="69">
        <v>6</v>
      </c>
      <c r="I109" s="7" t="s">
        <v>426</v>
      </c>
      <c r="J109" s="37" t="s">
        <v>331</v>
      </c>
    </row>
    <row r="110" spans="1:10" ht="16.5" customHeight="1">
      <c r="A110" s="118"/>
      <c r="B110" s="108"/>
      <c r="C110" s="116"/>
      <c r="D110" s="47" t="s">
        <v>429</v>
      </c>
      <c r="E110" s="39"/>
      <c r="F110" s="55" t="s">
        <v>489</v>
      </c>
      <c r="G110" s="3" t="s">
        <v>16</v>
      </c>
      <c r="H110" s="69"/>
      <c r="I110" s="7" t="s">
        <v>428</v>
      </c>
      <c r="J110" s="37"/>
    </row>
    <row r="111" spans="1:10" ht="16.5" customHeight="1">
      <c r="A111" s="118"/>
      <c r="B111" s="108"/>
      <c r="C111" s="116"/>
      <c r="D111" s="47" t="s">
        <v>275</v>
      </c>
      <c r="E111" s="39" t="s">
        <v>308</v>
      </c>
      <c r="F111" s="55" t="s">
        <v>489</v>
      </c>
      <c r="G111" s="3" t="s">
        <v>16</v>
      </c>
      <c r="H111" s="69">
        <v>2</v>
      </c>
      <c r="I111" s="7" t="s">
        <v>426</v>
      </c>
      <c r="J111" s="37" t="s">
        <v>332</v>
      </c>
    </row>
    <row r="112" spans="1:10" ht="16.5" customHeight="1">
      <c r="A112" s="118"/>
      <c r="B112" s="108"/>
      <c r="C112" s="116"/>
      <c r="D112" s="47" t="s">
        <v>276</v>
      </c>
      <c r="E112" s="39" t="s">
        <v>309</v>
      </c>
      <c r="F112" s="55" t="s">
        <v>489</v>
      </c>
      <c r="G112" s="3" t="s">
        <v>16</v>
      </c>
      <c r="H112" s="69">
        <v>2</v>
      </c>
      <c r="I112" s="7" t="s">
        <v>426</v>
      </c>
      <c r="J112" s="37" t="s">
        <v>333</v>
      </c>
    </row>
    <row r="113" spans="1:10" ht="16.5" customHeight="1">
      <c r="A113" s="118"/>
      <c r="B113" s="108"/>
      <c r="C113" s="116"/>
      <c r="D113" s="47" t="s">
        <v>277</v>
      </c>
      <c r="E113" s="39" t="s">
        <v>310</v>
      </c>
      <c r="F113" s="55" t="s">
        <v>489</v>
      </c>
      <c r="G113" s="3" t="s">
        <v>16</v>
      </c>
      <c r="H113" s="69">
        <v>3</v>
      </c>
      <c r="I113" s="7" t="s">
        <v>426</v>
      </c>
      <c r="J113" s="37" t="s">
        <v>334</v>
      </c>
    </row>
    <row r="114" spans="1:10" ht="16.5" customHeight="1">
      <c r="A114" s="118"/>
      <c r="B114" s="108"/>
      <c r="C114" s="116"/>
      <c r="D114" s="47" t="s">
        <v>278</v>
      </c>
      <c r="E114" s="39" t="s">
        <v>311</v>
      </c>
      <c r="F114" s="55" t="s">
        <v>489</v>
      </c>
      <c r="G114" s="3" t="s">
        <v>16</v>
      </c>
      <c r="H114" s="69">
        <v>4</v>
      </c>
      <c r="I114" s="7" t="s">
        <v>426</v>
      </c>
      <c r="J114" s="37" t="s">
        <v>335</v>
      </c>
    </row>
    <row r="115" spans="1:10" ht="16.5" customHeight="1">
      <c r="A115" s="118"/>
      <c r="B115" s="108"/>
      <c r="C115" s="116"/>
      <c r="D115" s="47" t="s">
        <v>279</v>
      </c>
      <c r="E115" s="42" t="s">
        <v>312</v>
      </c>
      <c r="F115" s="55" t="s">
        <v>489</v>
      </c>
      <c r="G115" s="3" t="s">
        <v>16</v>
      </c>
      <c r="H115" s="69">
        <v>2</v>
      </c>
      <c r="I115" s="7" t="s">
        <v>426</v>
      </c>
      <c r="J115" s="37" t="s">
        <v>336</v>
      </c>
    </row>
    <row r="116" spans="1:10" ht="16.5" customHeight="1">
      <c r="A116" s="118"/>
      <c r="B116" s="108"/>
      <c r="C116" s="116"/>
      <c r="D116" s="47" t="s">
        <v>280</v>
      </c>
      <c r="E116" s="39" t="s">
        <v>313</v>
      </c>
      <c r="F116" s="55" t="s">
        <v>489</v>
      </c>
      <c r="G116" s="3" t="s">
        <v>16</v>
      </c>
      <c r="H116" s="69">
        <v>3</v>
      </c>
      <c r="I116" s="7" t="s">
        <v>426</v>
      </c>
      <c r="J116" s="37" t="s">
        <v>337</v>
      </c>
    </row>
    <row r="117" spans="1:10" ht="16.5" customHeight="1">
      <c r="A117" s="118"/>
      <c r="B117" s="108"/>
      <c r="C117" s="116"/>
      <c r="D117" s="47" t="s">
        <v>281</v>
      </c>
      <c r="E117" s="39" t="s">
        <v>314</v>
      </c>
      <c r="F117" s="55" t="s">
        <v>489</v>
      </c>
      <c r="G117" s="3" t="s">
        <v>16</v>
      </c>
      <c r="H117" s="69">
        <v>4</v>
      </c>
      <c r="I117" s="7" t="s">
        <v>426</v>
      </c>
      <c r="J117" s="37" t="s">
        <v>338</v>
      </c>
    </row>
    <row r="118" spans="1:10" ht="16.5" customHeight="1">
      <c r="A118" s="118"/>
      <c r="B118" s="108"/>
      <c r="C118" s="116"/>
      <c r="D118" s="59" t="s">
        <v>444</v>
      </c>
      <c r="E118" s="53" t="s">
        <v>453</v>
      </c>
      <c r="F118" s="55" t="s">
        <v>412</v>
      </c>
      <c r="G118" s="3" t="s">
        <v>16</v>
      </c>
      <c r="H118" s="69">
        <v>90</v>
      </c>
      <c r="I118" s="7" t="s">
        <v>428</v>
      </c>
      <c r="J118" s="54" t="s">
        <v>451</v>
      </c>
    </row>
    <row r="119" spans="1:10" ht="13">
      <c r="A119" s="118"/>
      <c r="B119" s="108"/>
      <c r="C119" s="116"/>
      <c r="D119" s="73" t="s">
        <v>17</v>
      </c>
      <c r="E119" s="57" t="s">
        <v>454</v>
      </c>
      <c r="F119" s="55" t="s">
        <v>412</v>
      </c>
      <c r="G119" s="3" t="s">
        <v>17</v>
      </c>
      <c r="H119" s="69">
        <v>240</v>
      </c>
      <c r="I119" s="7" t="s">
        <v>428</v>
      </c>
      <c r="J119" s="64" t="s">
        <v>496</v>
      </c>
    </row>
    <row r="120" spans="1:10" ht="14" customHeight="1">
      <c r="A120" s="118"/>
      <c r="B120" s="108"/>
      <c r="C120" s="107" t="s">
        <v>362</v>
      </c>
      <c r="D120" s="59" t="s">
        <v>23</v>
      </c>
      <c r="E120" s="53" t="s">
        <v>455</v>
      </c>
      <c r="F120" s="55" t="s">
        <v>412</v>
      </c>
      <c r="G120" s="3" t="s">
        <v>18</v>
      </c>
      <c r="H120" s="69">
        <v>30</v>
      </c>
      <c r="I120" s="7" t="s">
        <v>426</v>
      </c>
      <c r="J120" s="54" t="s">
        <v>503</v>
      </c>
    </row>
    <row r="121" spans="1:10" ht="20" customHeight="1">
      <c r="A121" s="118"/>
      <c r="B121" s="108"/>
      <c r="C121" s="108"/>
      <c r="D121" s="34" t="s">
        <v>282</v>
      </c>
      <c r="E121" s="39" t="s">
        <v>315</v>
      </c>
      <c r="F121" s="55" t="s">
        <v>412</v>
      </c>
      <c r="G121" s="3" t="s">
        <v>16</v>
      </c>
      <c r="H121" s="69">
        <v>3</v>
      </c>
      <c r="I121" s="7" t="s">
        <v>426</v>
      </c>
      <c r="J121" s="37" t="s">
        <v>339</v>
      </c>
    </row>
    <row r="122" spans="1:10" ht="20" customHeight="1">
      <c r="A122" s="118"/>
      <c r="B122" s="108"/>
      <c r="C122" s="108"/>
      <c r="D122" s="34" t="s">
        <v>283</v>
      </c>
      <c r="E122" s="39" t="s">
        <v>316</v>
      </c>
      <c r="F122" s="55" t="s">
        <v>412</v>
      </c>
      <c r="G122" s="3" t="s">
        <v>16</v>
      </c>
      <c r="H122" s="69">
        <v>2</v>
      </c>
      <c r="I122" s="7" t="s">
        <v>426</v>
      </c>
      <c r="J122" s="37" t="s">
        <v>340</v>
      </c>
    </row>
    <row r="123" spans="1:10" ht="20" customHeight="1">
      <c r="A123" s="118"/>
      <c r="B123" s="108"/>
      <c r="C123" s="108"/>
      <c r="D123" s="34" t="s">
        <v>284</v>
      </c>
      <c r="E123" s="39" t="s">
        <v>317</v>
      </c>
      <c r="F123" s="55" t="s">
        <v>412</v>
      </c>
      <c r="G123" s="3" t="s">
        <v>16</v>
      </c>
      <c r="H123" s="69">
        <v>6</v>
      </c>
      <c r="I123" s="7" t="s">
        <v>426</v>
      </c>
      <c r="J123" s="37" t="s">
        <v>341</v>
      </c>
    </row>
    <row r="124" spans="1:10" ht="20" customHeight="1">
      <c r="A124" s="118"/>
      <c r="B124" s="108"/>
      <c r="C124" s="108"/>
      <c r="D124" s="34" t="s">
        <v>285</v>
      </c>
      <c r="E124" s="39" t="s">
        <v>318</v>
      </c>
      <c r="F124" s="55" t="s">
        <v>412</v>
      </c>
      <c r="G124" s="3" t="s">
        <v>16</v>
      </c>
      <c r="H124" s="69">
        <v>3</v>
      </c>
      <c r="I124" s="7" t="s">
        <v>426</v>
      </c>
      <c r="J124" s="37" t="s">
        <v>342</v>
      </c>
    </row>
    <row r="125" spans="1:10" ht="20" customHeight="1">
      <c r="A125" s="118"/>
      <c r="B125" s="108"/>
      <c r="C125" s="108"/>
      <c r="D125" s="34" t="s">
        <v>286</v>
      </c>
      <c r="E125" s="42" t="s">
        <v>319</v>
      </c>
      <c r="F125" s="55" t="s">
        <v>412</v>
      </c>
      <c r="G125" s="3" t="s">
        <v>16</v>
      </c>
      <c r="H125" s="69">
        <v>2</v>
      </c>
      <c r="I125" s="7" t="s">
        <v>426</v>
      </c>
      <c r="J125" s="37" t="s">
        <v>343</v>
      </c>
    </row>
    <row r="126" spans="1:10" ht="20" customHeight="1">
      <c r="A126" s="118"/>
      <c r="B126" s="108"/>
      <c r="C126" s="108"/>
      <c r="D126" s="34" t="s">
        <v>287</v>
      </c>
      <c r="E126" s="39" t="s">
        <v>320</v>
      </c>
      <c r="F126" s="55" t="s">
        <v>412</v>
      </c>
      <c r="G126" s="3" t="s">
        <v>16</v>
      </c>
      <c r="H126" s="69">
        <v>8</v>
      </c>
      <c r="I126" s="7" t="s">
        <v>426</v>
      </c>
      <c r="J126" s="37" t="s">
        <v>344</v>
      </c>
    </row>
    <row r="127" spans="1:10" ht="20" customHeight="1">
      <c r="A127" s="118"/>
      <c r="B127" s="108"/>
      <c r="C127" s="108"/>
      <c r="D127" s="45" t="s">
        <v>427</v>
      </c>
      <c r="E127" s="39" t="s">
        <v>441</v>
      </c>
      <c r="F127" s="55" t="s">
        <v>412</v>
      </c>
      <c r="G127" s="3"/>
      <c r="H127" s="69"/>
      <c r="I127" s="7" t="s">
        <v>428</v>
      </c>
      <c r="J127" s="37"/>
    </row>
    <row r="128" spans="1:10" ht="20" customHeight="1">
      <c r="A128" s="118"/>
      <c r="B128" s="108"/>
      <c r="C128" s="108"/>
      <c r="D128" s="34" t="s">
        <v>431</v>
      </c>
      <c r="E128" s="39" t="s">
        <v>409</v>
      </c>
      <c r="F128" s="55" t="s">
        <v>412</v>
      </c>
      <c r="G128" s="3" t="s">
        <v>16</v>
      </c>
      <c r="H128" s="69">
        <v>2</v>
      </c>
      <c r="I128" s="7" t="s">
        <v>426</v>
      </c>
      <c r="J128" s="5" t="s">
        <v>380</v>
      </c>
    </row>
    <row r="129" spans="1:10" ht="20" customHeight="1">
      <c r="A129" s="118"/>
      <c r="B129" s="108"/>
      <c r="C129" s="108"/>
      <c r="D129" s="34" t="s">
        <v>432</v>
      </c>
      <c r="E129" s="39" t="s">
        <v>410</v>
      </c>
      <c r="F129" s="55" t="s">
        <v>412</v>
      </c>
      <c r="G129" s="3" t="s">
        <v>16</v>
      </c>
      <c r="H129" s="69">
        <v>3</v>
      </c>
      <c r="I129" s="7" t="s">
        <v>426</v>
      </c>
      <c r="J129" s="5" t="s">
        <v>381</v>
      </c>
    </row>
    <row r="130" spans="1:10" ht="20" customHeight="1">
      <c r="A130" s="118"/>
      <c r="B130" s="108"/>
      <c r="C130" s="108"/>
      <c r="D130" s="34" t="s">
        <v>433</v>
      </c>
      <c r="E130" s="39" t="s">
        <v>411</v>
      </c>
      <c r="F130" s="55" t="s">
        <v>412</v>
      </c>
      <c r="G130" s="3" t="s">
        <v>16</v>
      </c>
      <c r="H130" s="69">
        <v>4</v>
      </c>
      <c r="I130" s="7" t="s">
        <v>426</v>
      </c>
      <c r="J130" s="5" t="s">
        <v>382</v>
      </c>
    </row>
    <row r="131" spans="1:10" ht="29.5" customHeight="1">
      <c r="A131" s="118"/>
      <c r="B131" s="108"/>
      <c r="C131" s="108"/>
      <c r="D131" s="34" t="s">
        <v>288</v>
      </c>
      <c r="E131" s="4"/>
      <c r="F131" s="55" t="s">
        <v>412</v>
      </c>
      <c r="G131" s="3" t="s">
        <v>16</v>
      </c>
      <c r="H131" s="69">
        <v>1</v>
      </c>
      <c r="I131" s="7" t="s">
        <v>426</v>
      </c>
      <c r="J131" s="37" t="s">
        <v>345</v>
      </c>
    </row>
    <row r="132" spans="1:10" ht="21" customHeight="1">
      <c r="A132" s="118"/>
      <c r="B132" s="108"/>
      <c r="C132" s="108"/>
      <c r="D132" s="73" t="s">
        <v>17</v>
      </c>
      <c r="E132" s="57" t="s">
        <v>454</v>
      </c>
      <c r="F132" s="55" t="s">
        <v>412</v>
      </c>
      <c r="G132" s="3" t="s">
        <v>17</v>
      </c>
      <c r="H132" s="69">
        <v>240</v>
      </c>
      <c r="I132" s="7" t="s">
        <v>428</v>
      </c>
      <c r="J132" s="54" t="s">
        <v>497</v>
      </c>
    </row>
    <row r="133" spans="1:10" ht="20" customHeight="1">
      <c r="A133" s="114" t="s">
        <v>456</v>
      </c>
      <c r="B133" s="115"/>
      <c r="C133" s="107" t="s">
        <v>363</v>
      </c>
      <c r="D133" s="60" t="s">
        <v>456</v>
      </c>
      <c r="E133" s="6" t="s">
        <v>456</v>
      </c>
      <c r="F133" s="61" t="s">
        <v>412</v>
      </c>
      <c r="G133" s="3" t="s">
        <v>19</v>
      </c>
      <c r="H133" s="56">
        <v>240</v>
      </c>
      <c r="I133" s="7" t="s">
        <v>428</v>
      </c>
      <c r="J133" s="5" t="s">
        <v>457</v>
      </c>
    </row>
    <row r="134" spans="1:10" ht="20" customHeight="1">
      <c r="A134" s="110" t="s">
        <v>25</v>
      </c>
      <c r="B134" s="111"/>
      <c r="C134" s="108"/>
      <c r="D134" s="60" t="s">
        <v>458</v>
      </c>
      <c r="E134" s="5" t="s">
        <v>459</v>
      </c>
      <c r="F134" s="61" t="s">
        <v>412</v>
      </c>
      <c r="G134" s="3" t="s">
        <v>42</v>
      </c>
      <c r="H134" s="7">
        <v>60</v>
      </c>
      <c r="I134" s="7" t="s">
        <v>426</v>
      </c>
      <c r="J134" s="5" t="s">
        <v>460</v>
      </c>
    </row>
    <row r="135" spans="1:10" ht="20" customHeight="1">
      <c r="A135" s="112"/>
      <c r="B135" s="113"/>
      <c r="C135" s="109"/>
      <c r="D135" s="60" t="s">
        <v>458</v>
      </c>
      <c r="E135" s="6" t="s">
        <v>461</v>
      </c>
      <c r="F135" s="55" t="s">
        <v>412</v>
      </c>
      <c r="G135" s="3" t="s">
        <v>42</v>
      </c>
      <c r="H135" s="56">
        <v>180</v>
      </c>
      <c r="I135" s="7" t="s">
        <v>428</v>
      </c>
      <c r="J135" s="5" t="s">
        <v>504</v>
      </c>
    </row>
    <row r="136" spans="1:10" ht="13" customHeight="1"/>
    <row r="137" spans="1:10" ht="13" customHeight="1">
      <c r="G137" s="10" t="s">
        <v>16</v>
      </c>
      <c r="H137" s="16">
        <f>SUMIF(G$3:G$135,G137,H$3:H$135)</f>
        <v>491</v>
      </c>
      <c r="I137" s="71">
        <f>H137/$H$142</f>
        <v>0.29036073329390893</v>
      </c>
    </row>
    <row r="138" spans="1:10" ht="13">
      <c r="G138" s="10" t="s">
        <v>17</v>
      </c>
      <c r="H138" s="16">
        <f>SUMIF(G$3:G$135,G138,H$3:H$135)</f>
        <v>600</v>
      </c>
      <c r="I138" s="71">
        <f>H138/$H$142</f>
        <v>0.35481963335304556</v>
      </c>
    </row>
    <row r="139" spans="1:10" ht="13">
      <c r="G139" s="10" t="s">
        <v>19</v>
      </c>
      <c r="H139" s="16">
        <f>SUMIF(G$3:G$135,G139,H$3:H$135)</f>
        <v>240</v>
      </c>
      <c r="I139" s="71">
        <f>H139/$H$142</f>
        <v>0.14192785334121821</v>
      </c>
    </row>
    <row r="140" spans="1:10" ht="13">
      <c r="G140" s="10" t="s">
        <v>18</v>
      </c>
      <c r="H140" s="16">
        <f>SUMIF(G$3:G$135,G140,H$3:H$135)</f>
        <v>120</v>
      </c>
      <c r="I140" s="71">
        <f>H140/$H$142</f>
        <v>7.0963926670609107E-2</v>
      </c>
    </row>
    <row r="141" spans="1:10" ht="13">
      <c r="G141" s="10" t="s">
        <v>42</v>
      </c>
      <c r="H141" s="16">
        <f>SUMIF(G$3:G$135,G141,H$3:H$135)</f>
        <v>240</v>
      </c>
      <c r="I141" s="71">
        <f>H141/$H$142</f>
        <v>0.14192785334121821</v>
      </c>
    </row>
    <row r="142" spans="1:10" ht="13">
      <c r="G142" s="10" t="s">
        <v>41</v>
      </c>
      <c r="H142" s="17">
        <f>SUM(H137:H141)</f>
        <v>1691</v>
      </c>
      <c r="I142" s="18">
        <f>SUM(I137:I141)</f>
        <v>1</v>
      </c>
    </row>
  </sheetData>
  <autoFilter ref="A2:J138"/>
  <dataConsolidate/>
  <mergeCells count="16">
    <mergeCell ref="A1:J1"/>
    <mergeCell ref="A2:B2"/>
    <mergeCell ref="C3:C43"/>
    <mergeCell ref="C44:C70"/>
    <mergeCell ref="B3:B70"/>
    <mergeCell ref="A3:A70"/>
    <mergeCell ref="C133:C135"/>
    <mergeCell ref="A134:B135"/>
    <mergeCell ref="A133:B133"/>
    <mergeCell ref="C98:C119"/>
    <mergeCell ref="B71:B97"/>
    <mergeCell ref="A71:A96"/>
    <mergeCell ref="C71:C97"/>
    <mergeCell ref="C120:C132"/>
    <mergeCell ref="B98:B132"/>
    <mergeCell ref="A98:A132"/>
  </mergeCells>
  <conditionalFormatting sqref="I1:I1048576">
    <cfRule type="cellIs" dxfId="0" priority="1" operator="equal">
      <formula>"Offline"</formula>
    </cfRule>
  </conditionalFormatting>
  <dataValidations count="2">
    <dataValidation type="list" allowBlank="1" showInputMessage="1" showErrorMessage="1" sqref="I3:I135">
      <formula1>"Online, Offline"</formula1>
    </dataValidation>
    <dataValidation type="list" allowBlank="1" showErrorMessage="1" sqref="G3:G135">
      <formula1>"Concept/Lecture, Assignment/Lab, Test/Quiz, Exam, Guides/Review, Seminar/Workshop, Class Meeting"</formula1>
    </dataValidation>
  </dataValidations>
  <hyperlinks>
    <hyperlink ref="J8" r:id="rId1"/>
    <hyperlink ref="J20" r:id="rId2"/>
    <hyperlink ref="J26" r:id="rId3"/>
    <hyperlink ref="J99" r:id="rId4"/>
    <hyperlink ref="J87" r:id="rId5"/>
    <hyperlink ref="J50" r:id="rId6"/>
    <hyperlink ref="J58" r:id="rId7"/>
    <hyperlink ref="J72" r:id="rId8"/>
    <hyperlink ref="J89" r:id="rId9"/>
  </hyperlinks>
  <pageMargins left="0.44" right="0.70866141732283505" top="0.47" bottom="0.55000000000000004" header="0.31496062992126" footer="0.31496062992126"/>
  <pageSetup paperSize="9" fitToHeight="2" orientation="landscape" r:id="rId10"/>
  <headerFooter>
    <oddFooter>&amp;L18e-BM/DT/FSOFT v1/1&amp;CInternal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6"/>
  <sheetViews>
    <sheetView view="pageBreakPreview" topLeftCell="A7" zoomScaleNormal="100" zoomScaleSheetLayoutView="100" workbookViewId="0">
      <selection activeCell="D13" sqref="D13"/>
    </sheetView>
  </sheetViews>
  <sheetFormatPr defaultColWidth="9.1796875" defaultRowHeight="12.5"/>
  <cols>
    <col min="1" max="1" width="3.1796875" style="20" customWidth="1"/>
    <col min="2" max="2" width="14.453125" style="20" customWidth="1"/>
    <col min="3" max="3" width="28.90625" style="20" customWidth="1"/>
    <col min="4" max="4" width="15.6328125" style="20" customWidth="1"/>
    <col min="5" max="5" width="14.81640625" style="20" customWidth="1"/>
    <col min="6" max="6" width="16" style="20" customWidth="1"/>
    <col min="7" max="16384" width="9.1796875" style="20"/>
  </cols>
  <sheetData>
    <row r="1" spans="1:6" s="19" customFormat="1" ht="20.25" customHeight="1">
      <c r="A1" s="122" t="s">
        <v>36</v>
      </c>
      <c r="B1" s="122"/>
      <c r="C1" s="122"/>
      <c r="D1" s="122"/>
      <c r="E1" s="122"/>
      <c r="F1" s="122"/>
    </row>
    <row r="2" spans="1:6" ht="13">
      <c r="B2" s="13" t="s">
        <v>37</v>
      </c>
      <c r="C2" s="13" t="s">
        <v>27</v>
      </c>
      <c r="D2" s="13" t="s">
        <v>57</v>
      </c>
      <c r="E2" s="13" t="s">
        <v>0</v>
      </c>
      <c r="F2" s="13" t="s">
        <v>1</v>
      </c>
    </row>
    <row r="3" spans="1:6" ht="13">
      <c r="B3" s="21" t="s">
        <v>47</v>
      </c>
      <c r="C3" s="11" t="s">
        <v>462</v>
      </c>
      <c r="D3" s="11" t="s">
        <v>463</v>
      </c>
      <c r="E3" s="11" t="s">
        <v>464</v>
      </c>
      <c r="F3" s="11"/>
    </row>
    <row r="4" spans="1:6" ht="13">
      <c r="B4" s="22" t="s">
        <v>48</v>
      </c>
      <c r="C4" s="11" t="s">
        <v>465</v>
      </c>
      <c r="D4" s="11" t="s">
        <v>466</v>
      </c>
      <c r="E4" s="11" t="s">
        <v>464</v>
      </c>
      <c r="F4" s="11"/>
    </row>
    <row r="5" spans="1:6" ht="13">
      <c r="B5" s="22" t="s">
        <v>49</v>
      </c>
      <c r="C5" s="11" t="s">
        <v>467</v>
      </c>
      <c r="D5" s="11" t="s">
        <v>468</v>
      </c>
      <c r="E5" s="11" t="s">
        <v>469</v>
      </c>
      <c r="F5" s="11"/>
    </row>
    <row r="6" spans="1:6" s="19" customFormat="1" ht="20.25" customHeight="1">
      <c r="A6" s="122" t="s">
        <v>3</v>
      </c>
      <c r="B6" s="122"/>
      <c r="C6" s="122"/>
      <c r="D6" s="122"/>
      <c r="E6" s="122"/>
      <c r="F6" s="122"/>
    </row>
    <row r="7" spans="1:6">
      <c r="A7" s="20" t="s">
        <v>4</v>
      </c>
    </row>
    <row r="9" spans="1:6" ht="26">
      <c r="B9" s="13" t="s">
        <v>5</v>
      </c>
      <c r="C9" s="13" t="s">
        <v>6</v>
      </c>
      <c r="D9" s="13" t="s">
        <v>9</v>
      </c>
      <c r="E9" s="13" t="s">
        <v>7</v>
      </c>
      <c r="F9" s="13" t="s">
        <v>8</v>
      </c>
    </row>
    <row r="10" spans="1:6" ht="37.5">
      <c r="B10" s="65">
        <v>43617</v>
      </c>
      <c r="C10" s="12" t="s">
        <v>486</v>
      </c>
      <c r="D10" s="66" t="s">
        <v>470</v>
      </c>
      <c r="E10" s="12" t="s">
        <v>471</v>
      </c>
      <c r="F10" s="67" t="s">
        <v>472</v>
      </c>
    </row>
    <row r="11" spans="1:6" ht="50">
      <c r="B11" s="65">
        <v>43570</v>
      </c>
      <c r="C11" s="12" t="s">
        <v>473</v>
      </c>
      <c r="D11" s="66" t="s">
        <v>474</v>
      </c>
      <c r="E11" s="12" t="s">
        <v>475</v>
      </c>
      <c r="F11" s="67" t="s">
        <v>476</v>
      </c>
    </row>
    <row r="12" spans="1:6">
      <c r="B12" s="65">
        <v>43605</v>
      </c>
      <c r="C12" s="12" t="s">
        <v>487</v>
      </c>
      <c r="D12" s="66" t="s">
        <v>474</v>
      </c>
      <c r="E12" s="12" t="s">
        <v>475</v>
      </c>
      <c r="F12" s="67" t="s">
        <v>477</v>
      </c>
    </row>
    <row r="13" spans="1:6" ht="25">
      <c r="B13" s="65">
        <v>43641</v>
      </c>
      <c r="C13" s="12" t="s">
        <v>475</v>
      </c>
      <c r="D13" s="66" t="s">
        <v>474</v>
      </c>
      <c r="E13" s="12" t="s">
        <v>478</v>
      </c>
      <c r="F13" s="67" t="s">
        <v>479</v>
      </c>
    </row>
    <row r="14" spans="1:6" ht="25">
      <c r="B14" s="65">
        <v>43646</v>
      </c>
      <c r="C14" s="12" t="s">
        <v>480</v>
      </c>
      <c r="D14" s="66" t="s">
        <v>474</v>
      </c>
      <c r="E14" s="12" t="s">
        <v>481</v>
      </c>
      <c r="F14" s="67">
        <v>3.8</v>
      </c>
    </row>
    <row r="15" spans="1:6" ht="25">
      <c r="B15" s="65">
        <v>43652</v>
      </c>
      <c r="C15" s="12" t="s">
        <v>475</v>
      </c>
      <c r="D15" s="68" t="s">
        <v>474</v>
      </c>
      <c r="E15" s="12" t="s">
        <v>482</v>
      </c>
      <c r="F15" s="67" t="s">
        <v>483</v>
      </c>
    </row>
    <row r="16" spans="1:6">
      <c r="B16" s="65">
        <v>43656</v>
      </c>
      <c r="C16" s="12" t="s">
        <v>484</v>
      </c>
      <c r="D16" s="68" t="s">
        <v>474</v>
      </c>
      <c r="E16" s="12" t="s">
        <v>484</v>
      </c>
      <c r="F16" s="67" t="s">
        <v>485</v>
      </c>
    </row>
  </sheetData>
  <mergeCells count="2">
    <mergeCell ref="A1:F1"/>
    <mergeCell ref="A6:F6"/>
  </mergeCells>
  <phoneticPr fontId="3" type="noConversion"/>
  <pageMargins left="0.7" right="0.41" top="0.75" bottom="0.75" header="0.3" footer="0.3"/>
  <pageSetup paperSize="9" scale="96" orientation="portrait" r:id="rId1"/>
  <headerFooter>
    <oddFooter>&amp;L18e-BM/DT/FSOFT v1/1&amp;CInternal use&amp;R&amp;P/&amp;N</oddFooter>
  </headerFooter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5"/>
  <sheetViews>
    <sheetView workbookViewId="0">
      <selection activeCell="AL4" sqref="AL4"/>
    </sheetView>
  </sheetViews>
  <sheetFormatPr defaultColWidth="8.81640625" defaultRowHeight="12.5"/>
  <sheetData>
    <row r="1" spans="1:256">
      <c r="A1" t="e">
        <f>IF('Spring Framework_Syllabus'!1:1,"AAAAAH7b/wA=",0)</f>
        <v>#VALUE!</v>
      </c>
      <c r="B1" t="e">
        <f>AND('Spring Framework_Syllabus'!#REF!,"AAAAAH7b/wE=")</f>
        <v>#REF!</v>
      </c>
      <c r="C1" t="e">
        <f>AND('Spring Framework_Syllabus'!B1,"AAAAAH7b/wI=")</f>
        <v>#VALUE!</v>
      </c>
      <c r="D1" t="e">
        <f>AND('Spring Framework_Syllabus'!C1,"AAAAAH7b/wM=")</f>
        <v>#VALUE!</v>
      </c>
      <c r="E1" t="e">
        <f>AND('Spring Framework_Syllabus'!D1,"AAAAAH7b/wQ=")</f>
        <v>#VALUE!</v>
      </c>
      <c r="F1" t="e">
        <f>AND('Spring Framework_Syllabus'!E1,"AAAAAH7b/wU=")</f>
        <v>#VALUE!</v>
      </c>
      <c r="G1" t="e">
        <f>AND('Spring Framework_Syllabus'!F1,"AAAAAH7b/wY=")</f>
        <v>#VALUE!</v>
      </c>
      <c r="H1" t="e">
        <f>AND('Spring Framework_Syllabus'!G1,"AAAAAH7b/wc=")</f>
        <v>#VALUE!</v>
      </c>
      <c r="I1">
        <f>IF('Spring Framework_Syllabus'!2:2,"AAAAAH7b/wg=",0)</f>
        <v>0</v>
      </c>
      <c r="J1" t="e">
        <f>AND('Spring Framework_Syllabus'!A2,"AAAAAH7b/wk=")</f>
        <v>#VALUE!</v>
      </c>
      <c r="K1" t="e">
        <f>AND('Spring Framework_Syllabus'!B2,"AAAAAH7b/wo=")</f>
        <v>#VALUE!</v>
      </c>
      <c r="L1" t="e">
        <f>AND('Spring Framework_Syllabus'!C2,"AAAAAH7b/ws=")</f>
        <v>#VALUE!</v>
      </c>
      <c r="M1" t="e">
        <f>AND('Spring Framework_Syllabus'!D2,"AAAAAH7b/ww=")</f>
        <v>#VALUE!</v>
      </c>
      <c r="N1" t="e">
        <f>AND('Spring Framework_Syllabus'!E2,"AAAAAH7b/w0=")</f>
        <v>#VALUE!</v>
      </c>
      <c r="O1" t="e">
        <f>AND('Spring Framework_Syllabus'!F2,"AAAAAH7b/w4=")</f>
        <v>#VALUE!</v>
      </c>
      <c r="P1" t="e">
        <f>AND('Spring Framework_Syllabus'!G2,"AAAAAH7b/w8=")</f>
        <v>#VALUE!</v>
      </c>
      <c r="Q1">
        <f>IF('Spring Framework_Syllabus'!3:3,"AAAAAH7b/xA=",0)</f>
        <v>0</v>
      </c>
      <c r="R1" t="e">
        <f>AND('Spring Framework_Syllabus'!A3,"AAAAAH7b/xE=")</f>
        <v>#VALUE!</v>
      </c>
      <c r="S1" t="e">
        <f>AND('Spring Framework_Syllabus'!B3,"AAAAAH7b/xI=")</f>
        <v>#VALUE!</v>
      </c>
      <c r="T1" t="e">
        <f>AND('Spring Framework_Syllabus'!C3,"AAAAAH7b/xM=")</f>
        <v>#VALUE!</v>
      </c>
      <c r="U1" t="e">
        <f>AND('Spring Framework_Syllabus'!D3,"AAAAAH7b/xQ=")</f>
        <v>#VALUE!</v>
      </c>
      <c r="V1" t="e">
        <f>AND('Spring Framework_Syllabus'!E3,"AAAAAH7b/xU=")</f>
        <v>#VALUE!</v>
      </c>
      <c r="W1" t="e">
        <f>AND('Spring Framework_Syllabus'!F3,"AAAAAH7b/xY=")</f>
        <v>#VALUE!</v>
      </c>
      <c r="X1" t="e">
        <f>AND('Spring Framework_Syllabus'!G3,"AAAAAH7b/xc=")</f>
        <v>#VALUE!</v>
      </c>
      <c r="Y1">
        <f>IF('Spring Framework_Syllabus'!4:4,"AAAAAH7b/xg=",0)</f>
        <v>0</v>
      </c>
      <c r="Z1" t="e">
        <f>AND('Spring Framework_Syllabus'!A4,"AAAAAH7b/xk=")</f>
        <v>#VALUE!</v>
      </c>
      <c r="AA1" t="e">
        <f>AND('Spring Framework_Syllabus'!B4,"AAAAAH7b/xo=")</f>
        <v>#VALUE!</v>
      </c>
      <c r="AB1" t="e">
        <f>AND('Spring Framework_Syllabus'!C4,"AAAAAH7b/xs=")</f>
        <v>#VALUE!</v>
      </c>
      <c r="AC1" t="e">
        <f>AND('Spring Framework_Syllabus'!D4,"AAAAAH7b/xw=")</f>
        <v>#VALUE!</v>
      </c>
      <c r="AD1" t="e">
        <f>AND('Spring Framework_Syllabus'!E4,"AAAAAH7b/x0=")</f>
        <v>#VALUE!</v>
      </c>
      <c r="AE1" t="e">
        <f>AND('Spring Framework_Syllabus'!F4,"AAAAAH7b/x4=")</f>
        <v>#VALUE!</v>
      </c>
      <c r="AF1" t="e">
        <f>AND('Spring Framework_Syllabus'!G4,"AAAAAH7b/x8=")</f>
        <v>#VALUE!</v>
      </c>
      <c r="AG1">
        <f>IF('Spring Framework_Syllabus'!5:5,"AAAAAH7b/yA=",0)</f>
        <v>0</v>
      </c>
      <c r="AH1" t="e">
        <f>AND('Spring Framework_Syllabus'!A5,"AAAAAH7b/yE=")</f>
        <v>#VALUE!</v>
      </c>
      <c r="AI1" t="e">
        <f>AND('Spring Framework_Syllabus'!B5,"AAAAAH7b/yI=")</f>
        <v>#VALUE!</v>
      </c>
      <c r="AJ1" t="e">
        <f>AND('Spring Framework_Syllabus'!C5,"AAAAAH7b/yM=")</f>
        <v>#VALUE!</v>
      </c>
      <c r="AK1" t="e">
        <f>AND('Spring Framework_Syllabus'!D5,"AAAAAH7b/yQ=")</f>
        <v>#VALUE!</v>
      </c>
      <c r="AL1" t="e">
        <f>AND('Spring Framework_Syllabus'!E5,"AAAAAH7b/yU=")</f>
        <v>#VALUE!</v>
      </c>
      <c r="AM1" t="e">
        <f>AND('Spring Framework_Syllabus'!F5,"AAAAAH7b/yY=")</f>
        <v>#VALUE!</v>
      </c>
      <c r="AN1" t="e">
        <f>AND('Spring Framework_Syllabus'!G5,"AAAAAH7b/yc=")</f>
        <v>#VALUE!</v>
      </c>
      <c r="AO1">
        <f>IF('Spring Framework_Syllabus'!6:6,"AAAAAH7b/yg=",0)</f>
        <v>0</v>
      </c>
      <c r="AP1" t="e">
        <f>AND('Spring Framework_Syllabus'!A6,"AAAAAH7b/yk=")</f>
        <v>#VALUE!</v>
      </c>
      <c r="AQ1" t="e">
        <f>AND('Spring Framework_Syllabus'!B6,"AAAAAH7b/yo=")</f>
        <v>#VALUE!</v>
      </c>
      <c r="AR1" t="e">
        <f>AND('Spring Framework_Syllabus'!C6,"AAAAAH7b/ys=")</f>
        <v>#VALUE!</v>
      </c>
      <c r="AS1" t="e">
        <f>AND('Spring Framework_Syllabus'!D6,"AAAAAH7b/yw=")</f>
        <v>#VALUE!</v>
      </c>
      <c r="AT1" t="e">
        <f>AND('Spring Framework_Syllabus'!E6,"AAAAAH7b/y0=")</f>
        <v>#VALUE!</v>
      </c>
      <c r="AU1" t="e">
        <f>AND('Spring Framework_Syllabus'!F6,"AAAAAH7b/y4=")</f>
        <v>#VALUE!</v>
      </c>
      <c r="AV1" t="e">
        <f>AND('Spring Framework_Syllabus'!G6,"AAAAAH7b/y8=")</f>
        <v>#VALUE!</v>
      </c>
      <c r="AW1">
        <f>IF('Spring Framework_Syllabus'!7:7,"AAAAAH7b/zA=",0)</f>
        <v>0</v>
      </c>
      <c r="AX1" t="e">
        <f>AND('Spring Framework_Syllabus'!A7,"AAAAAH7b/zE=")</f>
        <v>#VALUE!</v>
      </c>
      <c r="AY1" t="e">
        <f>AND('Spring Framework_Syllabus'!B7,"AAAAAH7b/zI=")</f>
        <v>#VALUE!</v>
      </c>
      <c r="AZ1" t="e">
        <f>AND('Spring Framework_Syllabus'!C7,"AAAAAH7b/zM=")</f>
        <v>#VALUE!</v>
      </c>
      <c r="BA1" t="e">
        <f>AND('Spring Framework_Syllabus'!D7,"AAAAAH7b/zQ=")</f>
        <v>#VALUE!</v>
      </c>
      <c r="BB1" t="e">
        <f>AND('Spring Framework_Syllabus'!E7,"AAAAAH7b/zU=")</f>
        <v>#VALUE!</v>
      </c>
      <c r="BC1" t="e">
        <f>AND('Spring Framework_Syllabus'!F7,"AAAAAH7b/zY=")</f>
        <v>#VALUE!</v>
      </c>
      <c r="BD1" t="e">
        <f>AND('Spring Framework_Syllabus'!G7,"AAAAAH7b/zc=")</f>
        <v>#VALUE!</v>
      </c>
      <c r="BE1">
        <f>IF('Spring Framework_Syllabus'!8:8,"AAAAAH7b/zg=",0)</f>
        <v>0</v>
      </c>
      <c r="BF1" t="e">
        <f>AND('Spring Framework_Syllabus'!A8,"AAAAAH7b/zk=")</f>
        <v>#VALUE!</v>
      </c>
      <c r="BG1" t="e">
        <f>AND('Spring Framework_Syllabus'!B8,"AAAAAH7b/zo=")</f>
        <v>#VALUE!</v>
      </c>
      <c r="BH1" t="e">
        <f>AND('Spring Framework_Syllabus'!C8,"AAAAAH7b/zs=")</f>
        <v>#VALUE!</v>
      </c>
      <c r="BI1" t="e">
        <f>AND('Spring Framework_Syllabus'!D8,"AAAAAH7b/zw=")</f>
        <v>#VALUE!</v>
      </c>
      <c r="BJ1" t="e">
        <f>AND('Spring Framework_Syllabus'!E8,"AAAAAH7b/z0=")</f>
        <v>#VALUE!</v>
      </c>
      <c r="BK1" t="e">
        <f>AND('Spring Framework_Syllabus'!F8,"AAAAAH7b/z4=")</f>
        <v>#VALUE!</v>
      </c>
      <c r="BL1" t="e">
        <f>AND('Spring Framework_Syllabus'!G8,"AAAAAH7b/z8=")</f>
        <v>#VALUE!</v>
      </c>
      <c r="BM1">
        <f>IF('Spring Framework_Syllabus'!9:9,"AAAAAH7b/0A=",0)</f>
        <v>0</v>
      </c>
      <c r="BN1" t="e">
        <f>AND('Spring Framework_Syllabus'!A9,"AAAAAH7b/0E=")</f>
        <v>#VALUE!</v>
      </c>
      <c r="BO1" t="e">
        <f>AND('Spring Framework_Syllabus'!B9,"AAAAAH7b/0I=")</f>
        <v>#VALUE!</v>
      </c>
      <c r="BP1" t="e">
        <f>AND('Spring Framework_Syllabus'!C9,"AAAAAH7b/0M=")</f>
        <v>#VALUE!</v>
      </c>
      <c r="BQ1" t="e">
        <f>AND('Spring Framework_Syllabus'!D9,"AAAAAH7b/0Q=")</f>
        <v>#VALUE!</v>
      </c>
      <c r="BR1" t="e">
        <f>AND('Spring Framework_Syllabus'!E9,"AAAAAH7b/0U=")</f>
        <v>#VALUE!</v>
      </c>
      <c r="BS1" t="e">
        <f>AND('Spring Framework_Syllabus'!F9,"AAAAAH7b/0Y=")</f>
        <v>#VALUE!</v>
      </c>
      <c r="BT1" t="e">
        <f>AND('Spring Framework_Syllabus'!G9,"AAAAAH7b/0c=")</f>
        <v>#VALUE!</v>
      </c>
      <c r="BU1">
        <f>IF('Spring Framework_Syllabus'!10:10,"AAAAAH7b/0g=",0)</f>
        <v>0</v>
      </c>
      <c r="BV1" t="e">
        <f>AND('Spring Framework_Syllabus'!A10,"AAAAAH7b/0k=")</f>
        <v>#VALUE!</v>
      </c>
      <c r="BW1" t="e">
        <f>AND('Spring Framework_Syllabus'!B10,"AAAAAH7b/0o=")</f>
        <v>#VALUE!</v>
      </c>
      <c r="BX1" t="e">
        <f>AND('Spring Framework_Syllabus'!C10,"AAAAAH7b/0s=")</f>
        <v>#VALUE!</v>
      </c>
      <c r="BY1" t="e">
        <f>AND('Spring Framework_Syllabus'!D10,"AAAAAH7b/0w=")</f>
        <v>#VALUE!</v>
      </c>
      <c r="BZ1" t="e">
        <f>AND('Spring Framework_Syllabus'!E10,"AAAAAH7b/00=")</f>
        <v>#VALUE!</v>
      </c>
      <c r="CA1" t="e">
        <f>AND('Spring Framework_Syllabus'!F10,"AAAAAH7b/04=")</f>
        <v>#VALUE!</v>
      </c>
      <c r="CB1" t="e">
        <f>AND('Spring Framework_Syllabus'!G10,"AAAAAH7b/08=")</f>
        <v>#VALUE!</v>
      </c>
      <c r="CC1">
        <f>IF('Spring Framework_Syllabus'!11:11,"AAAAAH7b/1A=",0)</f>
        <v>0</v>
      </c>
      <c r="CD1" t="e">
        <f>AND('Spring Framework_Syllabus'!A11,"AAAAAH7b/1E=")</f>
        <v>#VALUE!</v>
      </c>
      <c r="CE1" t="e">
        <f>AND('Spring Framework_Syllabus'!B11,"AAAAAH7b/1I=")</f>
        <v>#VALUE!</v>
      </c>
      <c r="CF1" t="e">
        <f>AND('Spring Framework_Syllabus'!C11,"AAAAAH7b/1M=")</f>
        <v>#VALUE!</v>
      </c>
      <c r="CG1" t="e">
        <f>AND('Spring Framework_Syllabus'!D11,"AAAAAH7b/1Q=")</f>
        <v>#VALUE!</v>
      </c>
      <c r="CH1" t="e">
        <f>AND('Spring Framework_Syllabus'!E11,"AAAAAH7b/1U=")</f>
        <v>#VALUE!</v>
      </c>
      <c r="CI1" t="e">
        <f>AND('Spring Framework_Syllabus'!F11,"AAAAAH7b/1Y=")</f>
        <v>#VALUE!</v>
      </c>
      <c r="CJ1" t="e">
        <f>AND('Spring Framework_Syllabus'!G11,"AAAAAH7b/1c=")</f>
        <v>#VALUE!</v>
      </c>
      <c r="CK1">
        <f>IF('Spring Framework_Syllabus'!12:12,"AAAAAH7b/1g=",0)</f>
        <v>0</v>
      </c>
      <c r="CL1" t="e">
        <f>AND('Spring Framework_Syllabus'!A12,"AAAAAH7b/1k=")</f>
        <v>#VALUE!</v>
      </c>
      <c r="CM1" t="e">
        <f>AND('Spring Framework_Syllabus'!B12,"AAAAAH7b/1o=")</f>
        <v>#VALUE!</v>
      </c>
      <c r="CN1" t="e">
        <f>AND('Spring Framework_Syllabus'!C12,"AAAAAH7b/1s=")</f>
        <v>#VALUE!</v>
      </c>
      <c r="CO1" t="e">
        <f>AND('Spring Framework_Syllabus'!D12,"AAAAAH7b/1w=")</f>
        <v>#VALUE!</v>
      </c>
      <c r="CP1" t="e">
        <f>AND('Spring Framework_Syllabus'!E12,"AAAAAH7b/10=")</f>
        <v>#VALUE!</v>
      </c>
      <c r="CQ1" t="e">
        <f>AND('Spring Framework_Syllabus'!F12,"AAAAAH7b/14=")</f>
        <v>#VALUE!</v>
      </c>
      <c r="CR1" t="e">
        <f>AND('Spring Framework_Syllabus'!G12,"AAAAAH7b/18=")</f>
        <v>#VALUE!</v>
      </c>
      <c r="CS1">
        <f>IF('Spring Framework_Syllabus'!13:13,"AAAAAH7b/2A=",0)</f>
        <v>0</v>
      </c>
      <c r="CT1" t="e">
        <f>AND('Spring Framework_Syllabus'!A13,"AAAAAH7b/2E=")</f>
        <v>#VALUE!</v>
      </c>
      <c r="CU1" t="e">
        <f>AND('Spring Framework_Syllabus'!B13,"AAAAAH7b/2I=")</f>
        <v>#VALUE!</v>
      </c>
      <c r="CV1" t="e">
        <f>AND('Spring Framework_Syllabus'!C13,"AAAAAH7b/2M=")</f>
        <v>#VALUE!</v>
      </c>
      <c r="CW1" t="e">
        <f>AND('Spring Framework_Syllabus'!D13,"AAAAAH7b/2Q=")</f>
        <v>#VALUE!</v>
      </c>
      <c r="CX1" t="e">
        <f>AND('Spring Framework_Syllabus'!E13,"AAAAAH7b/2U=")</f>
        <v>#VALUE!</v>
      </c>
      <c r="CY1" t="e">
        <f>AND('Spring Framework_Syllabus'!F13,"AAAAAH7b/2Y=")</f>
        <v>#VALUE!</v>
      </c>
      <c r="CZ1" t="e">
        <f>AND('Spring Framework_Syllabus'!G13,"AAAAAH7b/2c=")</f>
        <v>#VALUE!</v>
      </c>
      <c r="DA1">
        <f>IF('Spring Framework_Syllabus'!14:14,"AAAAAH7b/2g=",0)</f>
        <v>0</v>
      </c>
      <c r="DB1" t="e">
        <f>AND('Spring Framework_Syllabus'!A14,"AAAAAH7b/2k=")</f>
        <v>#VALUE!</v>
      </c>
      <c r="DC1" t="e">
        <f>AND('Spring Framework_Syllabus'!B14,"AAAAAH7b/2o=")</f>
        <v>#VALUE!</v>
      </c>
      <c r="DD1" t="e">
        <f>AND('Spring Framework_Syllabus'!C14,"AAAAAH7b/2s=")</f>
        <v>#VALUE!</v>
      </c>
      <c r="DE1" t="e">
        <f>AND('Spring Framework_Syllabus'!D14,"AAAAAH7b/2w=")</f>
        <v>#VALUE!</v>
      </c>
      <c r="DF1" t="e">
        <f>AND('Spring Framework_Syllabus'!E14,"AAAAAH7b/20=")</f>
        <v>#VALUE!</v>
      </c>
      <c r="DG1" t="e">
        <f>AND('Spring Framework_Syllabus'!F14,"AAAAAH7b/24=")</f>
        <v>#VALUE!</v>
      </c>
      <c r="DH1" t="e">
        <f>AND('Spring Framework_Syllabus'!G14,"AAAAAH7b/28=")</f>
        <v>#VALUE!</v>
      </c>
      <c r="DI1">
        <f>IF('Spring Framework_Syllabus'!15:15,"AAAAAH7b/3A=",0)</f>
        <v>0</v>
      </c>
      <c r="DJ1" t="e">
        <f>AND('Spring Framework_Syllabus'!A15,"AAAAAH7b/3E=")</f>
        <v>#VALUE!</v>
      </c>
      <c r="DK1" t="e">
        <f>AND('Spring Framework_Syllabus'!B15,"AAAAAH7b/3I=")</f>
        <v>#VALUE!</v>
      </c>
      <c r="DL1" t="e">
        <f>AND('Spring Framework_Syllabus'!C15,"AAAAAH7b/3M=")</f>
        <v>#VALUE!</v>
      </c>
      <c r="DM1" t="e">
        <f>AND('Spring Framework_Syllabus'!D15,"AAAAAH7b/3Q=")</f>
        <v>#VALUE!</v>
      </c>
      <c r="DN1" t="e">
        <f>AND('Spring Framework_Syllabus'!E15,"AAAAAH7b/3U=")</f>
        <v>#VALUE!</v>
      </c>
      <c r="DO1" t="e">
        <f>AND('Spring Framework_Syllabus'!F15,"AAAAAH7b/3Y=")</f>
        <v>#VALUE!</v>
      </c>
      <c r="DP1" t="e">
        <f>AND('Spring Framework_Syllabus'!G15,"AAAAAH7b/3c=")</f>
        <v>#VALUE!</v>
      </c>
      <c r="DQ1">
        <f>IF('Spring Framework_Syllabus'!16:16,"AAAAAH7b/3g=",0)</f>
        <v>0</v>
      </c>
      <c r="DR1" t="e">
        <f>AND('Spring Framework_Syllabus'!A16,"AAAAAH7b/3k=")</f>
        <v>#VALUE!</v>
      </c>
      <c r="DS1" t="e">
        <f>AND('Spring Framework_Syllabus'!B16,"AAAAAH7b/3o=")</f>
        <v>#VALUE!</v>
      </c>
      <c r="DT1" t="e">
        <f>AND('Spring Framework_Syllabus'!C16,"AAAAAH7b/3s=")</f>
        <v>#VALUE!</v>
      </c>
      <c r="DU1" t="e">
        <f>AND('Spring Framework_Syllabus'!D16,"AAAAAH7b/3w=")</f>
        <v>#VALUE!</v>
      </c>
      <c r="DV1" t="e">
        <f>AND('Spring Framework_Syllabus'!E16,"AAAAAH7b/30=")</f>
        <v>#VALUE!</v>
      </c>
      <c r="DW1" t="e">
        <f>AND('Spring Framework_Syllabus'!F16,"AAAAAH7b/34=")</f>
        <v>#VALUE!</v>
      </c>
      <c r="DX1" t="e">
        <f>AND('Spring Framework_Syllabus'!G16,"AAAAAH7b/38=")</f>
        <v>#VALUE!</v>
      </c>
      <c r="DY1">
        <f>IF('Spring Framework_Syllabus'!17:17,"AAAAAH7b/4A=",0)</f>
        <v>0</v>
      </c>
      <c r="DZ1" t="e">
        <f>AND('Spring Framework_Syllabus'!A17,"AAAAAH7b/4E=")</f>
        <v>#VALUE!</v>
      </c>
      <c r="EA1" t="e">
        <f>AND('Spring Framework_Syllabus'!B17,"AAAAAH7b/4I=")</f>
        <v>#VALUE!</v>
      </c>
      <c r="EB1" t="e">
        <f>AND('Spring Framework_Syllabus'!C17,"AAAAAH7b/4M=")</f>
        <v>#VALUE!</v>
      </c>
      <c r="EC1" t="e">
        <f>AND('Spring Framework_Syllabus'!D17,"AAAAAH7b/4Q=")</f>
        <v>#VALUE!</v>
      </c>
      <c r="ED1" t="e">
        <f>AND('Spring Framework_Syllabus'!E17,"AAAAAH7b/4U=")</f>
        <v>#VALUE!</v>
      </c>
      <c r="EE1" t="e">
        <f>AND('Spring Framework_Syllabus'!F17,"AAAAAH7b/4Y=")</f>
        <v>#VALUE!</v>
      </c>
      <c r="EF1" t="e">
        <f>AND('Spring Framework_Syllabus'!G17,"AAAAAH7b/4c=")</f>
        <v>#VALUE!</v>
      </c>
      <c r="EG1">
        <f>IF('Spring Framework_Syllabus'!18:18,"AAAAAH7b/4g=",0)</f>
        <v>0</v>
      </c>
      <c r="EH1" t="e">
        <f>AND('Spring Framework_Syllabus'!A18,"AAAAAH7b/4k=")</f>
        <v>#VALUE!</v>
      </c>
      <c r="EI1" t="e">
        <f>AND('Spring Framework_Syllabus'!B18,"AAAAAH7b/4o=")</f>
        <v>#VALUE!</v>
      </c>
      <c r="EJ1" t="e">
        <f>AND('Spring Framework_Syllabus'!C18,"AAAAAH7b/4s=")</f>
        <v>#VALUE!</v>
      </c>
      <c r="EK1" t="e">
        <f>AND('Spring Framework_Syllabus'!D18,"AAAAAH7b/4w=")</f>
        <v>#VALUE!</v>
      </c>
      <c r="EL1" t="e">
        <f>AND('Spring Framework_Syllabus'!E18,"AAAAAH7b/40=")</f>
        <v>#VALUE!</v>
      </c>
      <c r="EM1" t="e">
        <f>AND('Spring Framework_Syllabus'!F18,"AAAAAH7b/44=")</f>
        <v>#VALUE!</v>
      </c>
      <c r="EN1" t="e">
        <f>AND('Spring Framework_Syllabus'!G18,"AAAAAH7b/48=")</f>
        <v>#VALUE!</v>
      </c>
      <c r="EO1">
        <f>IF('Spring Framework_Syllabus'!19:19,"AAAAAH7b/5A=",0)</f>
        <v>0</v>
      </c>
      <c r="EP1" t="e">
        <f>AND('Spring Framework_Syllabus'!A19,"AAAAAH7b/5E=")</f>
        <v>#VALUE!</v>
      </c>
      <c r="EQ1" t="e">
        <f>AND('Spring Framework_Syllabus'!B19,"AAAAAH7b/5I=")</f>
        <v>#VALUE!</v>
      </c>
      <c r="ER1" t="e">
        <f>AND('Spring Framework_Syllabus'!C19,"AAAAAH7b/5M=")</f>
        <v>#VALUE!</v>
      </c>
      <c r="ES1" t="e">
        <f>AND('Spring Framework_Syllabus'!D19,"AAAAAH7b/5Q=")</f>
        <v>#VALUE!</v>
      </c>
      <c r="ET1" t="e">
        <f>AND('Spring Framework_Syllabus'!E19,"AAAAAH7b/5U=")</f>
        <v>#VALUE!</v>
      </c>
      <c r="EU1" t="e">
        <f>AND('Spring Framework_Syllabus'!F19,"AAAAAH7b/5Y=")</f>
        <v>#VALUE!</v>
      </c>
      <c r="EV1" t="e">
        <f>AND('Spring Framework_Syllabus'!G19,"AAAAAH7b/5c=")</f>
        <v>#VALUE!</v>
      </c>
      <c r="EW1">
        <f>IF('Spring Framework_Syllabus'!20:20,"AAAAAH7b/5g=",0)</f>
        <v>0</v>
      </c>
      <c r="EX1" t="e">
        <f>AND('Spring Framework_Syllabus'!A20,"AAAAAH7b/5k=")</f>
        <v>#VALUE!</v>
      </c>
      <c r="EY1" t="e">
        <f>AND('Spring Framework_Syllabus'!B20,"AAAAAH7b/5o=")</f>
        <v>#VALUE!</v>
      </c>
      <c r="EZ1" t="e">
        <f>AND('Spring Framework_Syllabus'!C20,"AAAAAH7b/5s=")</f>
        <v>#VALUE!</v>
      </c>
      <c r="FA1" t="e">
        <f>AND('Spring Framework_Syllabus'!D20,"AAAAAH7b/5w=")</f>
        <v>#VALUE!</v>
      </c>
      <c r="FB1" t="e">
        <f>AND('Spring Framework_Syllabus'!E20,"AAAAAH7b/50=")</f>
        <v>#VALUE!</v>
      </c>
      <c r="FC1" t="e">
        <f>AND('Spring Framework_Syllabus'!F20,"AAAAAH7b/54=")</f>
        <v>#VALUE!</v>
      </c>
      <c r="FD1" t="e">
        <f>AND('Spring Framework_Syllabus'!G20,"AAAAAH7b/58=")</f>
        <v>#VALUE!</v>
      </c>
      <c r="FE1">
        <f>IF('Spring Framework_Syllabus'!21:21,"AAAAAH7b/6A=",0)</f>
        <v>0</v>
      </c>
      <c r="FF1" t="e">
        <f>AND('Spring Framework_Syllabus'!A21,"AAAAAH7b/6E=")</f>
        <v>#VALUE!</v>
      </c>
      <c r="FG1" t="e">
        <f>AND('Spring Framework_Syllabus'!B21,"AAAAAH7b/6I=")</f>
        <v>#VALUE!</v>
      </c>
      <c r="FH1" t="e">
        <f>AND('Spring Framework_Syllabus'!C21,"AAAAAH7b/6M=")</f>
        <v>#VALUE!</v>
      </c>
      <c r="FI1" t="e">
        <f>AND('Spring Framework_Syllabus'!D21,"AAAAAH7b/6Q=")</f>
        <v>#VALUE!</v>
      </c>
      <c r="FJ1" t="e">
        <f>AND('Spring Framework_Syllabus'!E21,"AAAAAH7b/6U=")</f>
        <v>#VALUE!</v>
      </c>
      <c r="FK1" t="e">
        <f>AND('Spring Framework_Syllabus'!F21,"AAAAAH7b/6Y=")</f>
        <v>#VALUE!</v>
      </c>
      <c r="FL1" t="e">
        <f>AND('Spring Framework_Syllabus'!G21,"AAAAAH7b/6c=")</f>
        <v>#VALUE!</v>
      </c>
      <c r="FM1">
        <f>IF('Spring Framework_Syllabus'!22:22,"AAAAAH7b/6g=",0)</f>
        <v>0</v>
      </c>
      <c r="FN1" t="e">
        <f>AND('Spring Framework_Syllabus'!A22,"AAAAAH7b/6k=")</f>
        <v>#VALUE!</v>
      </c>
      <c r="FO1" t="e">
        <f>AND('Spring Framework_Syllabus'!B22,"AAAAAH7b/6o=")</f>
        <v>#VALUE!</v>
      </c>
      <c r="FP1" t="e">
        <f>AND('Spring Framework_Syllabus'!C22,"AAAAAH7b/6s=")</f>
        <v>#VALUE!</v>
      </c>
      <c r="FQ1" t="e">
        <f>AND('Spring Framework_Syllabus'!D22,"AAAAAH7b/6w=")</f>
        <v>#VALUE!</v>
      </c>
      <c r="FR1" t="e">
        <f>AND('Spring Framework_Syllabus'!E22,"AAAAAH7b/60=")</f>
        <v>#VALUE!</v>
      </c>
      <c r="FS1" t="e">
        <f>AND('Spring Framework_Syllabus'!F22,"AAAAAH7b/64=")</f>
        <v>#VALUE!</v>
      </c>
      <c r="FT1" t="e">
        <f>AND('Spring Framework_Syllabus'!G22,"AAAAAH7b/68=")</f>
        <v>#VALUE!</v>
      </c>
      <c r="FU1">
        <f>IF('Spring Framework_Syllabus'!23:23,"AAAAAH7b/7A=",0)</f>
        <v>0</v>
      </c>
      <c r="FV1" t="e">
        <f>AND('Spring Framework_Syllabus'!A23,"AAAAAH7b/7E=")</f>
        <v>#VALUE!</v>
      </c>
      <c r="FW1" t="e">
        <f>AND('Spring Framework_Syllabus'!B23,"AAAAAH7b/7I=")</f>
        <v>#VALUE!</v>
      </c>
      <c r="FX1" t="e">
        <f>AND('Spring Framework_Syllabus'!C23,"AAAAAH7b/7M=")</f>
        <v>#VALUE!</v>
      </c>
      <c r="FY1" t="e">
        <f>AND('Spring Framework_Syllabus'!D23,"AAAAAH7b/7Q=")</f>
        <v>#VALUE!</v>
      </c>
      <c r="FZ1" t="e">
        <f>AND('Spring Framework_Syllabus'!E23,"AAAAAH7b/7U=")</f>
        <v>#VALUE!</v>
      </c>
      <c r="GA1" t="e">
        <f>AND('Spring Framework_Syllabus'!F23,"AAAAAH7b/7Y=")</f>
        <v>#VALUE!</v>
      </c>
      <c r="GB1" t="e">
        <f>AND('Spring Framework_Syllabus'!G23,"AAAAAH7b/7c=")</f>
        <v>#VALUE!</v>
      </c>
      <c r="GC1">
        <f>IF('Spring Framework_Syllabus'!24:24,"AAAAAH7b/7g=",0)</f>
        <v>0</v>
      </c>
      <c r="GD1" t="e">
        <f>AND('Spring Framework_Syllabus'!A24,"AAAAAH7b/7k=")</f>
        <v>#VALUE!</v>
      </c>
      <c r="GE1" t="e">
        <f>AND('Spring Framework_Syllabus'!B24,"AAAAAH7b/7o=")</f>
        <v>#VALUE!</v>
      </c>
      <c r="GF1" t="e">
        <f>AND('Spring Framework_Syllabus'!C24,"AAAAAH7b/7s=")</f>
        <v>#VALUE!</v>
      </c>
      <c r="GG1" t="e">
        <f>AND('Spring Framework_Syllabus'!D24,"AAAAAH7b/7w=")</f>
        <v>#VALUE!</v>
      </c>
      <c r="GH1" t="e">
        <f>AND('Spring Framework_Syllabus'!E24,"AAAAAH7b/70=")</f>
        <v>#VALUE!</v>
      </c>
      <c r="GI1" t="e">
        <f>AND('Spring Framework_Syllabus'!F24,"AAAAAH7b/74=")</f>
        <v>#VALUE!</v>
      </c>
      <c r="GJ1" t="e">
        <f>AND('Spring Framework_Syllabus'!G24,"AAAAAH7b/78=")</f>
        <v>#VALUE!</v>
      </c>
      <c r="GK1">
        <f>IF('Spring Framework_Syllabus'!25:25,"AAAAAH7b/8A=",0)</f>
        <v>0</v>
      </c>
      <c r="GL1" t="e">
        <f>AND('Spring Framework_Syllabus'!A25,"AAAAAH7b/8E=")</f>
        <v>#VALUE!</v>
      </c>
      <c r="GM1" t="e">
        <f>AND('Spring Framework_Syllabus'!B25,"AAAAAH7b/8I=")</f>
        <v>#VALUE!</v>
      </c>
      <c r="GN1" t="e">
        <f>AND('Spring Framework_Syllabus'!C25,"AAAAAH7b/8M=")</f>
        <v>#VALUE!</v>
      </c>
      <c r="GO1" t="e">
        <f>AND('Spring Framework_Syllabus'!D25,"AAAAAH7b/8Q=")</f>
        <v>#VALUE!</v>
      </c>
      <c r="GP1" t="e">
        <f>AND('Spring Framework_Syllabus'!E25,"AAAAAH7b/8U=")</f>
        <v>#VALUE!</v>
      </c>
      <c r="GQ1" t="e">
        <f>AND('Spring Framework_Syllabus'!F25,"AAAAAH7b/8Y=")</f>
        <v>#VALUE!</v>
      </c>
      <c r="GR1" t="e">
        <f>AND('Spring Framework_Syllabus'!G25,"AAAAAH7b/8c=")</f>
        <v>#VALUE!</v>
      </c>
      <c r="GS1">
        <f>IF('Spring Framework_Syllabus'!26:26,"AAAAAH7b/8g=",0)</f>
        <v>0</v>
      </c>
      <c r="GT1" t="e">
        <f>AND('Spring Framework_Syllabus'!A26,"AAAAAH7b/8k=")</f>
        <v>#VALUE!</v>
      </c>
      <c r="GU1" t="e">
        <f>AND('Spring Framework_Syllabus'!B26,"AAAAAH7b/8o=")</f>
        <v>#VALUE!</v>
      </c>
      <c r="GV1" t="e">
        <f>AND('Spring Framework_Syllabus'!C26,"AAAAAH7b/8s=")</f>
        <v>#VALUE!</v>
      </c>
      <c r="GW1" t="e">
        <f>AND('Spring Framework_Syllabus'!D26,"AAAAAH7b/8w=")</f>
        <v>#VALUE!</v>
      </c>
      <c r="GX1" t="e">
        <f>AND('Spring Framework_Syllabus'!E26,"AAAAAH7b/80=")</f>
        <v>#VALUE!</v>
      </c>
      <c r="GY1" t="e">
        <f>AND('Spring Framework_Syllabus'!F26,"AAAAAH7b/84=")</f>
        <v>#VALUE!</v>
      </c>
      <c r="GZ1" t="e">
        <f>AND('Spring Framework_Syllabus'!G26,"AAAAAH7b/88=")</f>
        <v>#VALUE!</v>
      </c>
      <c r="HA1">
        <f>IF('Spring Framework_Syllabus'!27:27,"AAAAAH7b/9A=",0)</f>
        <v>0</v>
      </c>
      <c r="HB1" t="e">
        <f>AND('Spring Framework_Syllabus'!A27,"AAAAAH7b/9E=")</f>
        <v>#VALUE!</v>
      </c>
      <c r="HC1" t="e">
        <f>AND('Spring Framework_Syllabus'!B27,"AAAAAH7b/9I=")</f>
        <v>#VALUE!</v>
      </c>
      <c r="HD1" t="e">
        <f>AND('Spring Framework_Syllabus'!C27,"AAAAAH7b/9M=")</f>
        <v>#VALUE!</v>
      </c>
      <c r="HE1" t="e">
        <f>AND('Spring Framework_Syllabus'!D27,"AAAAAH7b/9Q=")</f>
        <v>#VALUE!</v>
      </c>
      <c r="HF1" t="e">
        <f>AND('Spring Framework_Syllabus'!E27,"AAAAAH7b/9U=")</f>
        <v>#VALUE!</v>
      </c>
      <c r="HG1" t="e">
        <f>AND('Spring Framework_Syllabus'!F27,"AAAAAH7b/9Y=")</f>
        <v>#VALUE!</v>
      </c>
      <c r="HH1" t="e">
        <f>AND('Spring Framework_Syllabus'!G27,"AAAAAH7b/9c=")</f>
        <v>#VALUE!</v>
      </c>
      <c r="HI1">
        <f>IF('Spring Framework_Syllabus'!28:28,"AAAAAH7b/9g=",0)</f>
        <v>0</v>
      </c>
      <c r="HJ1" t="e">
        <f>AND('Spring Framework_Syllabus'!A28,"AAAAAH7b/9k=")</f>
        <v>#VALUE!</v>
      </c>
      <c r="HK1" t="e">
        <f>AND('Spring Framework_Syllabus'!B28,"AAAAAH7b/9o=")</f>
        <v>#VALUE!</v>
      </c>
      <c r="HL1" t="e">
        <f>AND('Spring Framework_Syllabus'!C28,"AAAAAH7b/9s=")</f>
        <v>#VALUE!</v>
      </c>
      <c r="HM1" t="e">
        <f>AND('Spring Framework_Syllabus'!D28,"AAAAAH7b/9w=")</f>
        <v>#VALUE!</v>
      </c>
      <c r="HN1" t="e">
        <f>AND('Spring Framework_Syllabus'!E28,"AAAAAH7b/90=")</f>
        <v>#VALUE!</v>
      </c>
      <c r="HO1" t="e">
        <f>AND('Spring Framework_Syllabus'!F28,"AAAAAH7b/94=")</f>
        <v>#VALUE!</v>
      </c>
      <c r="HP1" t="e">
        <f>AND('Spring Framework_Syllabus'!G28,"AAAAAH7b/98=")</f>
        <v>#VALUE!</v>
      </c>
      <c r="HQ1">
        <f>IF('Spring Framework_Syllabus'!29:29,"AAAAAH7b/+A=",0)</f>
        <v>0</v>
      </c>
      <c r="HR1" t="e">
        <f>AND('Spring Framework_Syllabus'!A29,"AAAAAH7b/+E=")</f>
        <v>#VALUE!</v>
      </c>
      <c r="HS1" t="e">
        <f>AND('Spring Framework_Syllabus'!B29,"AAAAAH7b/+I=")</f>
        <v>#VALUE!</v>
      </c>
      <c r="HT1" t="e">
        <f>AND('Spring Framework_Syllabus'!C29,"AAAAAH7b/+M=")</f>
        <v>#VALUE!</v>
      </c>
      <c r="HU1" t="e">
        <f>AND('Spring Framework_Syllabus'!D29,"AAAAAH7b/+Q=")</f>
        <v>#VALUE!</v>
      </c>
      <c r="HV1" t="e">
        <f>AND('Spring Framework_Syllabus'!E29,"AAAAAH7b/+U=")</f>
        <v>#VALUE!</v>
      </c>
      <c r="HW1" t="e">
        <f>AND('Spring Framework_Syllabus'!F29,"AAAAAH7b/+Y=")</f>
        <v>#VALUE!</v>
      </c>
      <c r="HX1" t="e">
        <f>AND('Spring Framework_Syllabus'!G29,"AAAAAH7b/+c=")</f>
        <v>#VALUE!</v>
      </c>
      <c r="HY1">
        <f>IF('Spring Framework_Syllabus'!30:30,"AAAAAH7b/+g=",0)</f>
        <v>0</v>
      </c>
      <c r="HZ1" t="e">
        <f>AND('Spring Framework_Syllabus'!A30,"AAAAAH7b/+k=")</f>
        <v>#VALUE!</v>
      </c>
      <c r="IA1" t="e">
        <f>AND('Spring Framework_Syllabus'!B30,"AAAAAH7b/+o=")</f>
        <v>#VALUE!</v>
      </c>
      <c r="IB1" t="e">
        <f>AND('Spring Framework_Syllabus'!C30,"AAAAAH7b/+s=")</f>
        <v>#VALUE!</v>
      </c>
      <c r="IC1" t="e">
        <f>AND('Spring Framework_Syllabus'!D30,"AAAAAH7b/+w=")</f>
        <v>#VALUE!</v>
      </c>
      <c r="ID1" t="e">
        <f>AND('Spring Framework_Syllabus'!E30,"AAAAAH7b/+0=")</f>
        <v>#VALUE!</v>
      </c>
      <c r="IE1" t="e">
        <f>AND('Spring Framework_Syllabus'!F30,"AAAAAH7b/+4=")</f>
        <v>#VALUE!</v>
      </c>
      <c r="IF1" t="e">
        <f>AND('Spring Framework_Syllabus'!G30,"AAAAAH7b/+8=")</f>
        <v>#VALUE!</v>
      </c>
      <c r="IG1">
        <f>IF('Spring Framework_Syllabus'!31:31,"AAAAAH7b//A=",0)</f>
        <v>0</v>
      </c>
      <c r="IH1" t="e">
        <f>AND('Spring Framework_Syllabus'!A31,"AAAAAH7b//E=")</f>
        <v>#VALUE!</v>
      </c>
      <c r="II1" t="e">
        <f>AND('Spring Framework_Syllabus'!B31,"AAAAAH7b//I=")</f>
        <v>#VALUE!</v>
      </c>
      <c r="IJ1" t="e">
        <f>AND('Spring Framework_Syllabus'!C31,"AAAAAH7b//M=")</f>
        <v>#VALUE!</v>
      </c>
      <c r="IK1" t="e">
        <f>AND('Spring Framework_Syllabus'!D31,"AAAAAH7b//Q=")</f>
        <v>#VALUE!</v>
      </c>
      <c r="IL1" t="e">
        <f>AND('Spring Framework_Syllabus'!E31,"AAAAAH7b//U=")</f>
        <v>#VALUE!</v>
      </c>
      <c r="IM1" t="e">
        <f>AND('Spring Framework_Syllabus'!F31,"AAAAAH7b//Y=")</f>
        <v>#VALUE!</v>
      </c>
      <c r="IN1" t="e">
        <f>AND('Spring Framework_Syllabus'!G31,"AAAAAH7b//c=")</f>
        <v>#VALUE!</v>
      </c>
      <c r="IO1">
        <f>IF('Spring Framework_Syllabus'!32:32,"AAAAAH7b//g=",0)</f>
        <v>0</v>
      </c>
      <c r="IP1" t="e">
        <f>AND('Spring Framework_Syllabus'!A32,"AAAAAH7b//k=")</f>
        <v>#VALUE!</v>
      </c>
      <c r="IQ1" t="e">
        <f>AND('Spring Framework_Syllabus'!B32,"AAAAAH7b//o=")</f>
        <v>#VALUE!</v>
      </c>
      <c r="IR1" t="e">
        <f>AND('Spring Framework_Syllabus'!C32,"AAAAAH7b//s=")</f>
        <v>#VALUE!</v>
      </c>
      <c r="IS1" t="e">
        <f>AND('Spring Framework_Syllabus'!D32,"AAAAAH7b//w=")</f>
        <v>#VALUE!</v>
      </c>
      <c r="IT1" t="e">
        <f>AND('Spring Framework_Syllabus'!E32,"AAAAAH7b//0=")</f>
        <v>#VALUE!</v>
      </c>
      <c r="IU1" t="e">
        <f>AND('Spring Framework_Syllabus'!F32,"AAAAAH7b//4=")</f>
        <v>#VALUE!</v>
      </c>
      <c r="IV1" t="e">
        <f>AND('Spring Framework_Syllabus'!G32,"AAAAAH7b//8=")</f>
        <v>#VALUE!</v>
      </c>
    </row>
    <row r="2" spans="1:256">
      <c r="A2">
        <f>IF('Spring Framework_Syllabus'!33:33,"AAAAAH/vfwA=",0)</f>
        <v>0</v>
      </c>
      <c r="B2" t="e">
        <f>AND('Spring Framework_Syllabus'!A33,"AAAAAH/vfwE=")</f>
        <v>#VALUE!</v>
      </c>
      <c r="C2" t="e">
        <f>AND('Spring Framework_Syllabus'!B33,"AAAAAH/vfwI=")</f>
        <v>#VALUE!</v>
      </c>
      <c r="D2" t="e">
        <f>AND('Spring Framework_Syllabus'!C33,"AAAAAH/vfwM=")</f>
        <v>#VALUE!</v>
      </c>
      <c r="E2" t="e">
        <f>AND('Spring Framework_Syllabus'!D33,"AAAAAH/vfwQ=")</f>
        <v>#VALUE!</v>
      </c>
      <c r="F2" t="e">
        <f>AND('Spring Framework_Syllabus'!E33,"AAAAAH/vfwU=")</f>
        <v>#VALUE!</v>
      </c>
      <c r="G2" t="e">
        <f>AND('Spring Framework_Syllabus'!F33,"AAAAAH/vfwY=")</f>
        <v>#VALUE!</v>
      </c>
      <c r="H2" t="e">
        <f>AND('Spring Framework_Syllabus'!G33,"AAAAAH/vfwc=")</f>
        <v>#VALUE!</v>
      </c>
      <c r="I2">
        <f>IF('Spring Framework_Syllabus'!34:34,"AAAAAH/vfwg=",0)</f>
        <v>0</v>
      </c>
      <c r="J2" t="e">
        <f>AND('Spring Framework_Syllabus'!A34,"AAAAAH/vfwk=")</f>
        <v>#VALUE!</v>
      </c>
      <c r="K2" t="e">
        <f>AND('Spring Framework_Syllabus'!B34,"AAAAAH/vfwo=")</f>
        <v>#VALUE!</v>
      </c>
      <c r="L2" t="e">
        <f>AND('Spring Framework_Syllabus'!C34,"AAAAAH/vfws=")</f>
        <v>#VALUE!</v>
      </c>
      <c r="M2" t="e">
        <f>AND('Spring Framework_Syllabus'!D34,"AAAAAH/vfww=")</f>
        <v>#VALUE!</v>
      </c>
      <c r="N2" t="e">
        <f>AND('Spring Framework_Syllabus'!E34,"AAAAAH/vfw0=")</f>
        <v>#VALUE!</v>
      </c>
      <c r="O2" t="e">
        <f>AND('Spring Framework_Syllabus'!F34,"AAAAAH/vfw4=")</f>
        <v>#VALUE!</v>
      </c>
      <c r="P2" t="e">
        <f>AND('Spring Framework_Syllabus'!G34,"AAAAAH/vfw8=")</f>
        <v>#VALUE!</v>
      </c>
      <c r="Q2" t="e">
        <f>IF('Spring Framework_Syllabus'!#REF!,"AAAAAH/vfxA=",0)</f>
        <v>#REF!</v>
      </c>
      <c r="R2">
        <f>IF('Spring Framework_Syllabus'!A:A,"AAAAAH/vfxE=",0)</f>
        <v>0</v>
      </c>
      <c r="S2">
        <f>IF('Spring Framework_Syllabus'!B:B,"AAAAAH/vfxI=",0)</f>
        <v>0</v>
      </c>
      <c r="T2">
        <f>IF('Spring Framework_Syllabus'!C:C,"AAAAAH/vfxM=",0)</f>
        <v>0</v>
      </c>
      <c r="U2">
        <f>IF('Spring Framework_Syllabus'!D:D,"AAAAAH/vfxQ=",0)</f>
        <v>0</v>
      </c>
      <c r="V2">
        <f>IF('Spring Framework_Syllabus'!E:E,"AAAAAH/vfxU=",0)</f>
        <v>0</v>
      </c>
      <c r="W2">
        <f>IF('Spring Framework_Syllabus'!F:F,"AAAAAH/vfxY=",0)</f>
        <v>0</v>
      </c>
      <c r="X2">
        <f>IF('Spring Framework_Syllabus'!G:G,"AAAAAH/vfxc=",0)</f>
        <v>0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>
        <f>IF('Author and Rec of Changes'!1:1,"AAAAABPz/4M=",0)</f>
        <v>0</v>
      </c>
      <c r="EC3" t="e">
        <f>AND('Author and Rec of Changes'!A1,"AAAAABPz/4Q=")</f>
        <v>#VALUE!</v>
      </c>
      <c r="ED3" t="e">
        <f>AND('Author and Rec of Changes'!B1,"AAAAABPz/4U=")</f>
        <v>#VALUE!</v>
      </c>
      <c r="EE3" t="e">
        <f>AND('Author and Rec of Changes'!C1,"AAAAABPz/4Y=")</f>
        <v>#VALUE!</v>
      </c>
      <c r="EF3" t="e">
        <f>AND('Author and Rec of Changes'!E1,"AAAAABPz/4c=")</f>
        <v>#VALUE!</v>
      </c>
      <c r="EG3" t="e">
        <f>AND('Author and Rec of Changes'!F1,"AAAAABPz/4g=")</f>
        <v>#VALUE!</v>
      </c>
      <c r="EH3" t="e">
        <f>AND('Author and Rec of Changes'!#REF!,"AAAAABPz/4k=")</f>
        <v>#REF!</v>
      </c>
      <c r="EI3" t="e">
        <f>IF('Author and Rec of Changes'!#REF!,"AAAAABPz/4o=",0)</f>
        <v>#REF!</v>
      </c>
      <c r="EJ3" t="e">
        <f>AND('Author and Rec of Changes'!#REF!,"AAAAABPz/4s=")</f>
        <v>#REF!</v>
      </c>
      <c r="EK3" t="e">
        <f>AND('Author and Rec of Changes'!#REF!,"AAAAABPz/4w=")</f>
        <v>#REF!</v>
      </c>
      <c r="EL3" t="e">
        <f>AND('Author and Rec of Changes'!#REF!,"AAAAABPz/40=")</f>
        <v>#REF!</v>
      </c>
      <c r="EM3" t="e">
        <f>AND('Author and Rec of Changes'!#REF!,"AAAAABPz/44=")</f>
        <v>#REF!</v>
      </c>
      <c r="EN3" t="e">
        <f>AND('Author and Rec of Changes'!#REF!,"AAAAABPz/48=")</f>
        <v>#REF!</v>
      </c>
      <c r="EO3" t="e">
        <f>AND('Author and Rec of Changes'!#REF!,"AAAAABPz/5A=")</f>
        <v>#REF!</v>
      </c>
      <c r="EP3">
        <f>IF('Author and Rec of Changes'!2:2,"AAAAABPz/5E=",0)</f>
        <v>0</v>
      </c>
      <c r="EQ3" t="e">
        <f>AND('Author and Rec of Changes'!A2,"AAAAABPz/5I=")</f>
        <v>#VALUE!</v>
      </c>
      <c r="ER3" t="e">
        <f>AND('Author and Rec of Changes'!B2,"AAAAABPz/5M=")</f>
        <v>#VALUE!</v>
      </c>
      <c r="ES3" t="e">
        <f>AND('Author and Rec of Changes'!C2,"AAAAABPz/5Q=")</f>
        <v>#VALUE!</v>
      </c>
      <c r="ET3" t="e">
        <f>AND('Author and Rec of Changes'!E2,"AAAAABPz/5U=")</f>
        <v>#VALUE!</v>
      </c>
      <c r="EU3" t="e">
        <f>AND('Author and Rec of Changes'!F2,"AAAAABPz/5Y=")</f>
        <v>#VALUE!</v>
      </c>
      <c r="EV3" t="e">
        <f>AND('Author and Rec of Changes'!#REF!,"AAAAABPz/5c=")</f>
        <v>#REF!</v>
      </c>
      <c r="EW3">
        <f>IF('Author and Rec of Changes'!3:3,"AAAAABPz/5g=",0)</f>
        <v>0</v>
      </c>
      <c r="EX3" t="e">
        <f>AND('Author and Rec of Changes'!A3,"AAAAABPz/5k=")</f>
        <v>#VALUE!</v>
      </c>
      <c r="EY3" t="e">
        <f>AND('Author and Rec of Changes'!B3,"AAAAABPz/5o=")</f>
        <v>#VALUE!</v>
      </c>
      <c r="EZ3" t="e">
        <f>AND('Author and Rec of Changes'!C3,"AAAAABPz/5s=")</f>
        <v>#VALUE!</v>
      </c>
      <c r="FA3" t="e">
        <f>AND('Author and Rec of Changes'!E3,"AAAAABPz/5w=")</f>
        <v>#VALUE!</v>
      </c>
      <c r="FB3" t="e">
        <f>AND('Author and Rec of Changes'!F3,"AAAAABPz/50=")</f>
        <v>#VALUE!</v>
      </c>
      <c r="FC3" t="e">
        <f>AND('Author and Rec of Changes'!#REF!,"AAAAABPz/54=")</f>
        <v>#REF!</v>
      </c>
      <c r="FD3" t="e">
        <f>IF('Author and Rec of Changes'!#REF!,"AAAAABPz/58=",0)</f>
        <v>#REF!</v>
      </c>
      <c r="FE3" t="e">
        <f>AND('Author and Rec of Changes'!#REF!,"AAAAABPz/6A=")</f>
        <v>#REF!</v>
      </c>
      <c r="FF3" t="e">
        <f>AND('Author and Rec of Changes'!#REF!,"AAAAABPz/6E=")</f>
        <v>#REF!</v>
      </c>
      <c r="FG3" t="e">
        <f>AND('Author and Rec of Changes'!#REF!,"AAAAABPz/6I=")</f>
        <v>#REF!</v>
      </c>
      <c r="FH3" t="e">
        <f>AND('Author and Rec of Changes'!#REF!,"AAAAABPz/6M=")</f>
        <v>#REF!</v>
      </c>
      <c r="FI3" t="e">
        <f>AND('Author and Rec of Changes'!#REF!,"AAAAABPz/6Q=")</f>
        <v>#REF!</v>
      </c>
      <c r="FJ3" t="e">
        <f>AND('Author and Rec of Changes'!#REF!,"AAAAABPz/6U=")</f>
        <v>#REF!</v>
      </c>
      <c r="FK3" t="e">
        <f>IF('Author and Rec of Changes'!#REF!,"AAAAABPz/6Y=",0)</f>
        <v>#REF!</v>
      </c>
      <c r="FL3" t="e">
        <f>AND('Author and Rec of Changes'!#REF!,"AAAAABPz/6c=")</f>
        <v>#REF!</v>
      </c>
      <c r="FM3" t="e">
        <f>AND('Author and Rec of Changes'!#REF!,"AAAAABPz/6g=")</f>
        <v>#REF!</v>
      </c>
      <c r="FN3" t="e">
        <f>AND('Author and Rec of Changes'!#REF!,"AAAAABPz/6k=")</f>
        <v>#REF!</v>
      </c>
      <c r="FO3" t="e">
        <f>AND('Author and Rec of Changes'!#REF!,"AAAAABPz/6o=")</f>
        <v>#REF!</v>
      </c>
      <c r="FP3" t="e">
        <f>AND('Author and Rec of Changes'!#REF!,"AAAAABPz/6s=")</f>
        <v>#REF!</v>
      </c>
      <c r="FQ3" t="e">
        <f>AND('Author and Rec of Changes'!#REF!,"AAAAABPz/6w=")</f>
        <v>#REF!</v>
      </c>
      <c r="FR3">
        <f>IF('Author and Rec of Changes'!4:4,"AAAAABPz/60=",0)</f>
        <v>0</v>
      </c>
      <c r="FS3" t="e">
        <f>AND('Author and Rec of Changes'!A4,"AAAAABPz/64=")</f>
        <v>#VALUE!</v>
      </c>
      <c r="FT3" t="e">
        <f>AND('Author and Rec of Changes'!B4,"AAAAABPz/68=")</f>
        <v>#VALUE!</v>
      </c>
      <c r="FU3" t="e">
        <f>AND('Author and Rec of Changes'!C4,"AAAAABPz/7A=")</f>
        <v>#VALUE!</v>
      </c>
      <c r="FV3" t="e">
        <f>AND('Author and Rec of Changes'!E4,"AAAAABPz/7E=")</f>
        <v>#VALUE!</v>
      </c>
      <c r="FW3" t="e">
        <f>AND('Author and Rec of Changes'!F4,"AAAAABPz/7I=")</f>
        <v>#VALUE!</v>
      </c>
      <c r="FX3" t="e">
        <f>AND('Author and Rec of Changes'!#REF!,"AAAAABPz/7M=")</f>
        <v>#REF!</v>
      </c>
      <c r="FY3" t="e">
        <f>IF('Author and Rec of Changes'!#REF!,"AAAAABPz/7Q=",0)</f>
        <v>#REF!</v>
      </c>
      <c r="FZ3" t="e">
        <f>AND('Author and Rec of Changes'!#REF!,"AAAAABPz/7U=")</f>
        <v>#REF!</v>
      </c>
      <c r="GA3" t="e">
        <f>AND('Author and Rec of Changes'!#REF!,"AAAAABPz/7Y=")</f>
        <v>#REF!</v>
      </c>
      <c r="GB3" t="e">
        <f>AND('Author and Rec of Changes'!#REF!,"AAAAABPz/7c=")</f>
        <v>#REF!</v>
      </c>
      <c r="GC3" t="e">
        <f>AND('Author and Rec of Changes'!#REF!,"AAAAABPz/7g=")</f>
        <v>#REF!</v>
      </c>
      <c r="GD3" t="e">
        <f>AND('Author and Rec of Changes'!#REF!,"AAAAABPz/7k=")</f>
        <v>#REF!</v>
      </c>
      <c r="GE3" t="e">
        <f>AND('Author and Rec of Changes'!#REF!,"AAAAABPz/7o=")</f>
        <v>#REF!</v>
      </c>
      <c r="GF3" t="e">
        <f>IF('Author and Rec of Changes'!#REF!,"AAAAABPz/7s=",0)</f>
        <v>#REF!</v>
      </c>
      <c r="GG3" t="e">
        <f>AND('Author and Rec of Changes'!#REF!,"AAAAABPz/7w=")</f>
        <v>#REF!</v>
      </c>
      <c r="GH3" t="e">
        <f>AND('Author and Rec of Changes'!#REF!,"AAAAABPz/70=")</f>
        <v>#REF!</v>
      </c>
      <c r="GI3" t="e">
        <f>AND('Author and Rec of Changes'!#REF!,"AAAAABPz/74=")</f>
        <v>#REF!</v>
      </c>
      <c r="GJ3" t="e">
        <f>AND('Author and Rec of Changes'!#REF!,"AAAAABPz/78=")</f>
        <v>#REF!</v>
      </c>
      <c r="GK3" t="e">
        <f>AND('Author and Rec of Changes'!#REF!,"AAAAABPz/8A=")</f>
        <v>#REF!</v>
      </c>
      <c r="GL3" t="e">
        <f>AND('Author and Rec of Changes'!#REF!,"AAAAABPz/8E=")</f>
        <v>#REF!</v>
      </c>
      <c r="GM3" t="e">
        <f>IF('Author and Rec of Changes'!#REF!,"AAAAABPz/8I=",0)</f>
        <v>#REF!</v>
      </c>
      <c r="GN3" t="e">
        <f>AND('Author and Rec of Changes'!#REF!,"AAAAABPz/8M=")</f>
        <v>#REF!</v>
      </c>
      <c r="GO3" t="e">
        <f>AND('Author and Rec of Changes'!#REF!,"AAAAABPz/8Q=")</f>
        <v>#REF!</v>
      </c>
      <c r="GP3" t="e">
        <f>AND('Author and Rec of Changes'!#REF!,"AAAAABPz/8U=")</f>
        <v>#REF!</v>
      </c>
      <c r="GQ3" t="e">
        <f>AND('Author and Rec of Changes'!#REF!,"AAAAABPz/8Y=")</f>
        <v>#REF!</v>
      </c>
      <c r="GR3" t="e">
        <f>AND('Author and Rec of Changes'!#REF!,"AAAAABPz/8c=")</f>
        <v>#REF!</v>
      </c>
      <c r="GS3" t="e">
        <f>AND('Author and Rec of Changes'!#REF!,"AAAAABPz/8g=")</f>
        <v>#REF!</v>
      </c>
      <c r="GT3" t="e">
        <f>IF('Author and Rec of Changes'!#REF!,"AAAAABPz/8k=",0)</f>
        <v>#REF!</v>
      </c>
      <c r="GU3" t="e">
        <f>AND('Author and Rec of Changes'!#REF!,"AAAAABPz/8o=")</f>
        <v>#REF!</v>
      </c>
      <c r="GV3" t="e">
        <f>AND('Author and Rec of Changes'!#REF!,"AAAAABPz/8s=")</f>
        <v>#REF!</v>
      </c>
      <c r="GW3" t="e">
        <f>AND('Author and Rec of Changes'!#REF!,"AAAAABPz/8w=")</f>
        <v>#REF!</v>
      </c>
      <c r="GX3" t="e">
        <f>AND('Author and Rec of Changes'!#REF!,"AAAAABPz/80=")</f>
        <v>#REF!</v>
      </c>
      <c r="GY3" t="e">
        <f>AND('Author and Rec of Changes'!#REF!,"AAAAABPz/84=")</f>
        <v>#REF!</v>
      </c>
      <c r="GZ3" t="e">
        <f>AND('Author and Rec of Changes'!#REF!,"AAAAABPz/88=")</f>
        <v>#REF!</v>
      </c>
      <c r="HA3" t="e">
        <f>IF('Author and Rec of Changes'!#REF!,"AAAAABPz/9A=",0)</f>
        <v>#REF!</v>
      </c>
      <c r="HB3" t="e">
        <f>AND('Author and Rec of Changes'!#REF!,"AAAAABPz/9E=")</f>
        <v>#REF!</v>
      </c>
      <c r="HC3" t="e">
        <f>AND('Author and Rec of Changes'!#REF!,"AAAAABPz/9I=")</f>
        <v>#REF!</v>
      </c>
      <c r="HD3" t="e">
        <f>AND('Author and Rec of Changes'!#REF!,"AAAAABPz/9M=")</f>
        <v>#REF!</v>
      </c>
      <c r="HE3" t="e">
        <f>AND('Author and Rec of Changes'!#REF!,"AAAAABPz/9Q=")</f>
        <v>#REF!</v>
      </c>
      <c r="HF3" t="e">
        <f>AND('Author and Rec of Changes'!#REF!,"AAAAABPz/9U=")</f>
        <v>#REF!</v>
      </c>
      <c r="HG3" t="e">
        <f>AND('Author and Rec of Changes'!#REF!,"AAAAABPz/9Y=")</f>
        <v>#REF!</v>
      </c>
      <c r="HH3" t="e">
        <f>IF('Author and Rec of Changes'!#REF!,"AAAAABPz/9c=",0)</f>
        <v>#REF!</v>
      </c>
      <c r="HI3" t="e">
        <f>AND('Author and Rec of Changes'!#REF!,"AAAAABPz/9g=")</f>
        <v>#REF!</v>
      </c>
      <c r="HJ3" t="e">
        <f>AND('Author and Rec of Changes'!#REF!,"AAAAABPz/9k=")</f>
        <v>#REF!</v>
      </c>
      <c r="HK3" t="e">
        <f>AND('Author and Rec of Changes'!#REF!,"AAAAABPz/9o=")</f>
        <v>#REF!</v>
      </c>
      <c r="HL3" t="e">
        <f>AND('Author and Rec of Changes'!#REF!,"AAAAABPz/9s=")</f>
        <v>#REF!</v>
      </c>
      <c r="HM3" t="e">
        <f>AND('Author and Rec of Changes'!#REF!,"AAAAABPz/9w=")</f>
        <v>#REF!</v>
      </c>
      <c r="HN3" t="e">
        <f>AND('Author and Rec of Changes'!#REF!,"AAAAABPz/90=")</f>
        <v>#REF!</v>
      </c>
      <c r="HO3" t="e">
        <f>IF('Author and Rec of Changes'!#REF!,"AAAAABPz/94=",0)</f>
        <v>#REF!</v>
      </c>
      <c r="HP3" t="e">
        <f>AND('Author and Rec of Changes'!#REF!,"AAAAABPz/98=")</f>
        <v>#REF!</v>
      </c>
      <c r="HQ3" t="e">
        <f>AND('Author and Rec of Changes'!#REF!,"AAAAABPz/+A=")</f>
        <v>#REF!</v>
      </c>
      <c r="HR3" t="e">
        <f>AND('Author and Rec of Changes'!#REF!,"AAAAABPz/+E=")</f>
        <v>#REF!</v>
      </c>
      <c r="HS3" t="e">
        <f>AND('Author and Rec of Changes'!#REF!,"AAAAABPz/+I=")</f>
        <v>#REF!</v>
      </c>
      <c r="HT3" t="e">
        <f>AND('Author and Rec of Changes'!#REF!,"AAAAABPz/+M=")</f>
        <v>#REF!</v>
      </c>
      <c r="HU3" t="e">
        <f>AND('Author and Rec of Changes'!#REF!,"AAAAABPz/+Q=")</f>
        <v>#REF!</v>
      </c>
      <c r="HV3">
        <f>IF('Author and Rec of Changes'!5:5,"AAAAABPz/+U=",0)</f>
        <v>0</v>
      </c>
      <c r="HW3" t="e">
        <f>AND('Author and Rec of Changes'!A5,"AAAAABPz/+Y=")</f>
        <v>#VALUE!</v>
      </c>
      <c r="HX3" t="e">
        <f>AND('Author and Rec of Changes'!B5,"AAAAABPz/+c=")</f>
        <v>#VALUE!</v>
      </c>
      <c r="HY3" t="e">
        <f>AND('Author and Rec of Changes'!C5,"AAAAABPz/+g=")</f>
        <v>#VALUE!</v>
      </c>
      <c r="HZ3" t="e">
        <f>AND('Author and Rec of Changes'!E5,"AAAAABPz/+k=")</f>
        <v>#VALUE!</v>
      </c>
      <c r="IA3" t="e">
        <f>AND('Author and Rec of Changes'!F5,"AAAAABPz/+o=")</f>
        <v>#VALUE!</v>
      </c>
      <c r="IB3" t="e">
        <f>AND('Author and Rec of Changes'!#REF!,"AAAAABPz/+s=")</f>
        <v>#REF!</v>
      </c>
      <c r="IC3" t="e">
        <f>IF('Author and Rec of Changes'!#REF!,"AAAAABPz/+w=",0)</f>
        <v>#REF!</v>
      </c>
      <c r="ID3" t="e">
        <f>AND('Author and Rec of Changes'!#REF!,"AAAAABPz/+0=")</f>
        <v>#REF!</v>
      </c>
      <c r="IE3" t="e">
        <f>AND('Author and Rec of Changes'!#REF!,"AAAAABPz/+4=")</f>
        <v>#REF!</v>
      </c>
      <c r="IF3" t="e">
        <f>AND('Author and Rec of Changes'!#REF!,"AAAAABPz/+8=")</f>
        <v>#REF!</v>
      </c>
      <c r="IG3" t="e">
        <f>AND('Author and Rec of Changes'!#REF!,"AAAAABPz//A=")</f>
        <v>#REF!</v>
      </c>
      <c r="IH3" t="e">
        <f>AND('Author and Rec of Changes'!#REF!,"AAAAABPz//E=")</f>
        <v>#REF!</v>
      </c>
      <c r="II3" t="e">
        <f>AND('Author and Rec of Changes'!#REF!,"AAAAABPz//I=")</f>
        <v>#REF!</v>
      </c>
      <c r="IJ3" t="e">
        <f>IF('Author and Rec of Changes'!#REF!,"AAAAABPz//M=",0)</f>
        <v>#REF!</v>
      </c>
      <c r="IK3" t="e">
        <f>AND('Author and Rec of Changes'!#REF!,"AAAAABPz//Q=")</f>
        <v>#REF!</v>
      </c>
      <c r="IL3" t="e">
        <f>AND('Author and Rec of Changes'!#REF!,"AAAAABPz//U=")</f>
        <v>#REF!</v>
      </c>
      <c r="IM3" t="e">
        <f>AND('Author and Rec of Changes'!#REF!,"AAAAABPz//Y=")</f>
        <v>#REF!</v>
      </c>
      <c r="IN3" t="e">
        <f>AND('Author and Rec of Changes'!#REF!,"AAAAABPz//c=")</f>
        <v>#REF!</v>
      </c>
      <c r="IO3" t="e">
        <f>AND('Author and Rec of Changes'!#REF!,"AAAAABPz//g=")</f>
        <v>#REF!</v>
      </c>
      <c r="IP3" t="e">
        <f>AND('Author and Rec of Changes'!#REF!,"AAAAABPz//k=")</f>
        <v>#REF!</v>
      </c>
      <c r="IQ3">
        <f>IF('Author and Rec of Changes'!6:6,"AAAAABPz//o=",0)</f>
        <v>0</v>
      </c>
      <c r="IR3" t="e">
        <f>AND('Author and Rec of Changes'!A6,"AAAAABPz//s=")</f>
        <v>#VALUE!</v>
      </c>
      <c r="IS3" t="e">
        <f>AND('Author and Rec of Changes'!B6,"AAAAABPz//w=")</f>
        <v>#VALUE!</v>
      </c>
      <c r="IT3" t="e">
        <f>AND('Author and Rec of Changes'!C6,"AAAAABPz//0=")</f>
        <v>#VALUE!</v>
      </c>
      <c r="IU3" t="e">
        <f>AND('Author and Rec of Changes'!E6,"AAAAABPz//4=")</f>
        <v>#VALUE!</v>
      </c>
      <c r="IV3" t="e">
        <f>AND('Author and Rec of Changes'!F6,"AAAAABPz//8=")</f>
        <v>#VALUE!</v>
      </c>
    </row>
    <row r="4" spans="1:256" ht="14.5">
      <c r="A4" t="e">
        <f>AND('Author and Rec of Changes'!#REF!,"AAAAAH/rVAA=")</f>
        <v>#REF!</v>
      </c>
      <c r="B4">
        <f>IF('Author and Rec of Changes'!7:7,"AAAAAH/rVAE=",0)</f>
        <v>0</v>
      </c>
      <c r="C4" t="e">
        <f>AND('Author and Rec of Changes'!A7,"AAAAAH/rVAI=")</f>
        <v>#VALUE!</v>
      </c>
      <c r="D4" t="e">
        <f>AND('Author and Rec of Changes'!B7,"AAAAAH/rVAM=")</f>
        <v>#VALUE!</v>
      </c>
      <c r="E4" t="e">
        <f>AND('Author and Rec of Changes'!C7,"AAAAAH/rVAQ=")</f>
        <v>#VALUE!</v>
      </c>
      <c r="F4" t="e">
        <f>AND('Author and Rec of Changes'!E7,"AAAAAH/rVAU=")</f>
        <v>#VALUE!</v>
      </c>
      <c r="G4" t="e">
        <f>AND('Author and Rec of Changes'!F7,"AAAAAH/rVAY=")</f>
        <v>#VALUE!</v>
      </c>
      <c r="H4" t="e">
        <f>AND('Author and Rec of Changes'!#REF!,"AAAAAH/rVAc=")</f>
        <v>#REF!</v>
      </c>
      <c r="I4">
        <f>IF('Author and Rec of Changes'!8:8,"AAAAAH/rVAg=",0)</f>
        <v>0</v>
      </c>
      <c r="J4" t="e">
        <f>AND('Author and Rec of Changes'!A8,"AAAAAH/rVAk=")</f>
        <v>#VALUE!</v>
      </c>
      <c r="K4" t="e">
        <f>AND('Author and Rec of Changes'!B8,"AAAAAH/rVAo=")</f>
        <v>#VALUE!</v>
      </c>
      <c r="L4" t="e">
        <f>AND('Author and Rec of Changes'!C8,"AAAAAH/rVAs=")</f>
        <v>#VALUE!</v>
      </c>
      <c r="M4" t="e">
        <f>AND('Author and Rec of Changes'!E8,"AAAAAH/rVAw=")</f>
        <v>#VALUE!</v>
      </c>
      <c r="N4" t="e">
        <f>AND('Author and Rec of Changes'!F8,"AAAAAH/rVA0=")</f>
        <v>#VALUE!</v>
      </c>
      <c r="O4" t="e">
        <f>AND('Author and Rec of Changes'!#REF!,"AAAAAH/rVA4=")</f>
        <v>#REF!</v>
      </c>
      <c r="P4">
        <f>IF('Author and Rec of Changes'!9:9,"AAAAAH/rVA8=",0)</f>
        <v>0</v>
      </c>
      <c r="Q4" t="e">
        <f>AND('Author and Rec of Changes'!A9,"AAAAAH/rVBA=")</f>
        <v>#VALUE!</v>
      </c>
      <c r="R4" t="e">
        <f>AND('Author and Rec of Changes'!B9,"AAAAAH/rVBE=")</f>
        <v>#VALUE!</v>
      </c>
      <c r="S4" t="e">
        <f>AND('Author and Rec of Changes'!C9,"AAAAAH/rVBI=")</f>
        <v>#VALUE!</v>
      </c>
      <c r="T4" t="e">
        <f>AND('Author and Rec of Changes'!D9,"AAAAAH/rVBM=")</f>
        <v>#VALUE!</v>
      </c>
      <c r="U4" t="e">
        <f>AND('Author and Rec of Changes'!E9,"AAAAAH/rVBQ=")</f>
        <v>#VALUE!</v>
      </c>
      <c r="V4" t="e">
        <f>AND('Author and Rec of Changes'!F9,"AAAAAH/rVBU=")</f>
        <v>#VALUE!</v>
      </c>
      <c r="W4">
        <f>IF('Author and Rec of Changes'!10:10,"AAAAAH/rVBY=",0)</f>
        <v>0</v>
      </c>
      <c r="X4">
        <f>IF('Author and Rec of Changes'!11:11,"AAAAAH/rVBc=",0)</f>
        <v>0</v>
      </c>
      <c r="Y4">
        <f>IF('Author and Rec of Changes'!12:12,"AAAAAH/rVBg=",0)</f>
        <v>0</v>
      </c>
      <c r="Z4">
        <f>IF('Author and Rec of Changes'!13:13,"AAAAAH/rVBk=",0)</f>
        <v>0</v>
      </c>
      <c r="AA4">
        <f>IF('Author and Rec of Changes'!14:14,"AAAAAH/rVBo=",0)</f>
        <v>0</v>
      </c>
      <c r="AB4">
        <f>IF('Author and Rec of Changes'!15:15,"AAAAAH/rVBs=",0)</f>
        <v>0</v>
      </c>
      <c r="AC4">
        <f>IF('Author and Rec of Changes'!16:16,"AAAAAH/rVBw=",0)</f>
        <v>0</v>
      </c>
      <c r="AD4">
        <f>IF('Author and Rec of Changes'!A:A,"AAAAAH/rVB0=",0)</f>
        <v>0</v>
      </c>
      <c r="AE4" t="e">
        <f>IF('Author and Rec of Changes'!B:B,"AAAAAH/rVB4=",0)</f>
        <v>#VALUE!</v>
      </c>
      <c r="AF4" t="e">
        <f>IF('Author and Rec of Changes'!C:C,"AAAAAH/rVB8=",0)</f>
        <v>#VALUE!</v>
      </c>
      <c r="AG4" t="e">
        <f>IF('Author and Rec of Changes'!E:E,"AAAAAH/rVCA=",0)</f>
        <v>#VALUE!</v>
      </c>
      <c r="AH4">
        <f>IF('Author and Rec of Changes'!F:F,"AAAAAH/rVCE=",0)</f>
        <v>0</v>
      </c>
      <c r="AI4" t="e">
        <f>IF('Author and Rec of Changes'!#REF!,"AAAAAH/rVCI=",0)</f>
        <v>#REF!</v>
      </c>
      <c r="AJ4" t="s">
        <v>44</v>
      </c>
      <c r="AK4" s="1" t="s">
        <v>45</v>
      </c>
      <c r="AL4" s="2" t="s">
        <v>46</v>
      </c>
      <c r="AM4" t="e">
        <f>IF("N",[0]!_xlnm._FilterDatabase,"AAAAAH/rVCY=")</f>
        <v>#VALUE!</v>
      </c>
    </row>
    <row r="5" spans="1:256">
      <c r="A5" t="e">
        <f>AND('Spring Framework_Syllabus'!A1,"AAAAACvx+wA=")</f>
        <v>#VALUE!</v>
      </c>
      <c r="B5" t="e">
        <f>IF('Spring Framework_Syllabus'!#REF!,"AAAAACvx+wE=",0)</f>
        <v>#REF!</v>
      </c>
      <c r="C5" t="e">
        <f>AND('Spring Framework_Syllabus'!#REF!,"AAAAACvx+wI=")</f>
        <v>#REF!</v>
      </c>
      <c r="D5" t="e">
        <f>AND('Spring Framework_Syllabus'!#REF!,"AAAAACvx+wM=")</f>
        <v>#REF!</v>
      </c>
      <c r="E5" t="e">
        <f>AND('Spring Framework_Syllabus'!#REF!,"AAAAACvx+wQ=")</f>
        <v>#REF!</v>
      </c>
      <c r="F5" t="e">
        <f>AND('Spring Framework_Syllabus'!#REF!,"AAAAACvx+wU=")</f>
        <v>#REF!</v>
      </c>
      <c r="G5" t="e">
        <f>AND('Spring Framework_Syllabus'!#REF!,"AAAAACvx+wY=")</f>
        <v>#REF!</v>
      </c>
      <c r="H5" t="e">
        <f>AND('Spring Framework_Syllabus'!#REF!,"AAAAACvx+wc=")</f>
        <v>#REF!</v>
      </c>
      <c r="I5" t="e">
        <f>AND('Spring Framework_Syllabus'!#REF!,"AAAAACvx+wg=")</f>
        <v>#REF!</v>
      </c>
      <c r="J5" t="e">
        <f>IF('Spring Framework_Syllabus'!#REF!,"AAAAACvx+wk=",0)</f>
        <v>#REF!</v>
      </c>
      <c r="K5" t="e">
        <f>AND('Spring Framework_Syllabus'!#REF!,"AAAAACvx+wo=")</f>
        <v>#REF!</v>
      </c>
      <c r="L5" t="e">
        <f>AND('Spring Framework_Syllabus'!#REF!,"AAAAACvx+ws=")</f>
        <v>#REF!</v>
      </c>
      <c r="M5" t="e">
        <f>AND('Spring Framework_Syllabus'!#REF!,"AAAAACvx+ww=")</f>
        <v>#REF!</v>
      </c>
      <c r="N5" t="e">
        <f>AND('Spring Framework_Syllabus'!#REF!,"AAAAACvx+w0=")</f>
        <v>#REF!</v>
      </c>
      <c r="O5" t="e">
        <f>AND('Spring Framework_Syllabus'!#REF!,"AAAAACvx+w4=")</f>
        <v>#REF!</v>
      </c>
      <c r="P5" t="e">
        <f>AND('Spring Framework_Syllabus'!#REF!,"AAAAACvx+w8=")</f>
        <v>#REF!</v>
      </c>
      <c r="Q5" t="e">
        <f>AND('Spring Framework_Syllabus'!#REF!,"AAAAACvx+xA=")</f>
        <v>#REF!</v>
      </c>
    </row>
  </sheetData>
  <phoneticPr fontId="3" type="noConversion"/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Spring Framework_Syllabus</vt:lpstr>
      <vt:lpstr>Spring Framework_Schedule</vt:lpstr>
      <vt:lpstr>Author and Rec of Changes</vt:lpstr>
      <vt:lpstr>'Author and Rec of Changes'!Print_Area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Trung Kien</dc:creator>
  <cp:keywords>Syllabus</cp:keywords>
  <dc:description>- Sửa đổi toàn bộ cấu trúc &amp; nội dung tài liệu
Lý do:
Phục vụ nhu cầu thực tế</dc:description>
  <cp:lastModifiedBy>Nguyen Thi Dieu (FA.TOD)</cp:lastModifiedBy>
  <cp:lastPrinted>2012-11-12T04:29:11Z</cp:lastPrinted>
  <dcterms:created xsi:type="dcterms:W3CDTF">2010-11-19T03:46:05Z</dcterms:created>
  <dcterms:modified xsi:type="dcterms:W3CDTF">2019-11-25T03:24:45Z</dcterms:modified>
  <cp:category>Template</cp:category>
  <cp:contentStatus>20/11/2012</cp:contentStatus>
</cp:coreProperties>
</file>