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4.GST FINAL\2019\1_Technical\1_Fresher\FR.Dev_v4.0\T_DevJava\JWEB\"/>
    </mc:Choice>
  </mc:AlternateContent>
  <bookViews>
    <workbookView xWindow="120" yWindow="270" windowWidth="15270" windowHeight="7030" activeTab="1"/>
  </bookViews>
  <sheets>
    <sheet name="JWEB_Syllabus" sheetId="7" r:id="rId1"/>
    <sheet name="Java Web_Schedule" sheetId="11" r:id="rId2"/>
    <sheet name="Author and Rec of Changes" sheetId="9" r:id="rId3"/>
    <sheet name="DV-IDENTITY-0" sheetId="10" state="veryHidden" r:id="rId4"/>
  </sheets>
  <definedNames>
    <definedName name="_xlnm._FilterDatabase" localSheetId="1" hidden="1">'Java Web_Schedule'!$A$1:$J$9</definedName>
    <definedName name="_xlnm._FilterDatabase" hidden="1">#REF!</definedName>
  </definedNames>
  <calcPr calcId="152511"/>
</workbook>
</file>

<file path=xl/calcChain.xml><?xml version="1.0" encoding="utf-8"?>
<calcChain xmlns="http://schemas.openxmlformats.org/spreadsheetml/2006/main">
  <c r="H30" i="11" l="1"/>
  <c r="H31" i="11"/>
  <c r="H32" i="11"/>
  <c r="H33" i="11"/>
  <c r="H34" i="11"/>
  <c r="H29" i="11"/>
  <c r="A1" i="11"/>
  <c r="A1" i="7"/>
  <c r="A1" i="10" s="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H35" i="11" l="1"/>
  <c r="I34" i="11" s="1"/>
  <c r="D17" i="7" s="1"/>
  <c r="I33" i="11" l="1"/>
  <c r="I29" i="11"/>
  <c r="I30" i="11"/>
  <c r="D14" i="7" s="1"/>
  <c r="D13" i="7"/>
  <c r="I31" i="11"/>
  <c r="D15" i="7" s="1"/>
  <c r="I32" i="11"/>
  <c r="D16" i="7" s="1"/>
  <c r="I35" i="11" l="1"/>
</calcChain>
</file>

<file path=xl/sharedStrings.xml><?xml version="1.0" encoding="utf-8"?>
<sst xmlns="http://schemas.openxmlformats.org/spreadsheetml/2006/main" count="291" uniqueCount="176">
  <si>
    <t>Unit</t>
  </si>
  <si>
    <t>Notes</t>
  </si>
  <si>
    <t>References</t>
  </si>
  <si>
    <t>RECORD OF CHANGES</t>
  </si>
  <si>
    <t>*A - Added M - Modified D - Deleted</t>
  </si>
  <si>
    <t>Date</t>
  </si>
  <si>
    <t>Changes</t>
  </si>
  <si>
    <t>Contents</t>
  </si>
  <si>
    <t>Version</t>
  </si>
  <si>
    <t>A*
M, D</t>
  </si>
  <si>
    <t>Topic Code</t>
  </si>
  <si>
    <t>Topic Name</t>
  </si>
  <si>
    <t>Training Audience</t>
  </si>
  <si>
    <t>Course Objectives</t>
  </si>
  <si>
    <t>Topic Outline</t>
  </si>
  <si>
    <t>Time Allocation</t>
  </si>
  <si>
    <t>Concept/Lecture</t>
  </si>
  <si>
    <t>Assignment/Lab</t>
  </si>
  <si>
    <t>Test/Quiz</t>
  </si>
  <si>
    <t>Guides/Review</t>
  </si>
  <si>
    <t>Text book</t>
  </si>
  <si>
    <t>Technical requirements</t>
  </si>
  <si>
    <t>Assessment Scheme</t>
  </si>
  <si>
    <t>Quiz</t>
  </si>
  <si>
    <t>Assignments</t>
  </si>
  <si>
    <t>Final Test</t>
  </si>
  <si>
    <t>Passing criteria</t>
  </si>
  <si>
    <t>Name</t>
  </si>
  <si>
    <t>Code</t>
  </si>
  <si>
    <t>Training Materials &amp; Environments</t>
  </si>
  <si>
    <t>Training Delivery Principles</t>
  </si>
  <si>
    <t>Re-Test</t>
  </si>
  <si>
    <t>Trainees</t>
  </si>
  <si>
    <t>Trainer</t>
  </si>
  <si>
    <t>Training</t>
  </si>
  <si>
    <t>Others</t>
  </si>
  <si>
    <t>AUTHORSHIP</t>
  </si>
  <si>
    <t>Role</t>
  </si>
  <si>
    <t>Delivery Type</t>
  </si>
  <si>
    <t>Content</t>
  </si>
  <si>
    <t>Training Materials / Logistics &amp; General Notes
(Required, For Reference, etc.)</t>
  </si>
  <si>
    <t>Total</t>
  </si>
  <si>
    <t>Exam</t>
  </si>
  <si>
    <t>Marking</t>
  </si>
  <si>
    <t>AAAAAH/rVCM=</t>
  </si>
  <si>
    <t>AAAAAH/rVCQ=</t>
  </si>
  <si>
    <t>AAAAAH/rVCU=</t>
  </si>
  <si>
    <t>Creator</t>
  </si>
  <si>
    <t>Reviewer</t>
  </si>
  <si>
    <t>Approver</t>
  </si>
  <si>
    <t>Waiver Criteria</t>
  </si>
  <si>
    <t>Training Unit/Chapter</t>
  </si>
  <si>
    <t>Lecture</t>
  </si>
  <si>
    <t>Assignment</t>
  </si>
  <si>
    <t>Learning Objectives</t>
  </si>
  <si>
    <t>Training Format</t>
  </si>
  <si>
    <t>Offline</t>
  </si>
  <si>
    <t>Online</t>
  </si>
  <si>
    <t>Account</t>
  </si>
  <si>
    <t>Day</t>
  </si>
  <si>
    <t>Concepts, theory</t>
  </si>
  <si>
    <t>Assignment, Lab</t>
  </si>
  <si>
    <t>Quiz, assignment review
Assignment guides</t>
  </si>
  <si>
    <t>Daily quiz</t>
  </si>
  <si>
    <t>Pre-Test, Final Topic Test</t>
  </si>
  <si>
    <t>Theory Part</t>
  </si>
  <si>
    <t>Topic Exam</t>
  </si>
  <si>
    <t>Practice Part</t>
  </si>
  <si>
    <t>DieuNT1</t>
  </si>
  <si>
    <t>Nguyễn Thị Điệu</t>
  </si>
  <si>
    <t>Total topic GPA &gt;= 6/10
Attendant &gt;=80% of training time</t>
  </si>
  <si>
    <t>Template</t>
  </si>
  <si>
    <t>M</t>
  </si>
  <si>
    <t>A</t>
  </si>
  <si>
    <t>Bổ sung 1 đề practice final test;
Bổ sung 40 theory final test.</t>
  </si>
  <si>
    <t>Bổ sung 2 đề assignment cho 2 days học.</t>
  </si>
  <si>
    <t>Thay đổi templates: Syllabus, Slide, Assignment,Quiz, Exam.</t>
  </si>
  <si>
    <t>Golden time/English club/Workshop</t>
  </si>
  <si>
    <t>Topic revision and Final Test</t>
  </si>
  <si>
    <t>Topic revision</t>
  </si>
  <si>
    <t>Java Server Pages</t>
  </si>
  <si>
    <t>Java Servlet Programming</t>
  </si>
  <si>
    <t>Freshers who are software developers (SD) with basic backgroud and skills on object oriented design, core Java programming and SQL.</t>
  </si>
  <si>
    <t>Desription</t>
  </si>
  <si>
    <t>Software Architecture</t>
  </si>
  <si>
    <r>
      <rPr>
        <i/>
        <sz val="10"/>
        <rFont val="Arial"/>
        <family val="2"/>
      </rPr>
      <t xml:space="preserve">This topic is to introduce about Java programming language knowledge; adapt trainees with skills, lessons and practices which is specifically used in the Fsoft projects. </t>
    </r>
    <r>
      <rPr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The topic cover following output standards</t>
    </r>
  </si>
  <si>
    <t>Java Technologies for Web Applications</t>
  </si>
  <si>
    <t>JWEB</t>
  </si>
  <si>
    <t>Software Application</t>
  </si>
  <si>
    <t>H3SD</t>
  </si>
  <si>
    <r>
      <rPr>
        <b/>
        <i/>
        <sz val="10"/>
        <rFont val="Arial"/>
        <family val="2"/>
      </rPr>
      <t xml:space="preserve">In details, after completing the topic, trainees will (based on: https://education.oracle.com/web-component-development-with-servlets-jsps-java-ee-6/courP_210):
</t>
    </r>
    <r>
      <rPr>
        <sz val="10"/>
        <rFont val="Arial"/>
        <family val="2"/>
      </rPr>
      <t>- Understand the basic concepts of web development technologies with java (JSP / Servlet)
- Able to write servlets using the Java programming language (Java servlets)
- Create dynamic HTML content with Servlets and JavaServer Pages, using the Expression Language, and the JSP Standard Tag Library (JSTL)
- Create robust web applications using MVC architecture, session management, filters, and database integration (JDBC)
- Make Servlets and JSP work together cleanly
- Create secure web applications using the features of the Java EE web container</t>
    </r>
  </si>
  <si>
    <t>Có khả năng xây dựng ứng dụng web application hoàn thiện sử dụng công nghệ phát triển web với Java (JSP/Servlet) tích hợp cơ sở dữ liệu với JDBC.</t>
  </si>
  <si>
    <t>Lecture1.1</t>
  </si>
  <si>
    <t>Lecture1.2</t>
  </si>
  <si>
    <t>Assignment Giving</t>
  </si>
  <si>
    <t>Duration (hrs)</t>
  </si>
  <si>
    <t>Day 1</t>
  </si>
  <si>
    <t>Lecture2.1</t>
  </si>
  <si>
    <t>Lecture2.2</t>
  </si>
  <si>
    <t>Lecture1.1_Java Server Pages.pptx</t>
  </si>
  <si>
    <t>Lecture1.2. Java Servlet Programming.pptx</t>
  </si>
  <si>
    <t>Update</t>
  </si>
  <si>
    <t>Day 3</t>
  </si>
  <si>
    <t>Day 2</t>
  </si>
  <si>
    <t>Unit 2</t>
  </si>
  <si>
    <t>Trainers can allow students to complete homework and submit the next day</t>
  </si>
  <si>
    <t>Students pass the final test
Audited by the trainer: rank B</t>
  </si>
  <si>
    <t>Trainer: teach the concept in the morning and assign the afternoon assignment (discuss with the trainees to understand the assignment requirements)
Mentor: guides the assignment  and reviews it</t>
  </si>
  <si>
    <t>- Trainer and mentor has a good knowledge of the Java Web that has been evaluated by FA</t>
  </si>
  <si>
    <t>Qualified entry test and passed interview of Fresher program
Less than or equals 20 students in the class</t>
  </si>
  <si>
    <t>Trainees’ PCs need to have following softwares installed &amp; run without any issues:
• Java JDK v8 up
• Tomcat 8 or up
• Eclipse IDE for Java Developers
• Microsoft SQL Server 2008 Express or up (in which they create &amp; control on their DB)
• Microsoft Office 2007 (Visio, Word, Powerpoint)</t>
  </si>
  <si>
    <t>15% (1 project assignment)</t>
  </si>
  <si>
    <t>04 days duration</t>
  </si>
  <si>
    <t>JSP/Servlet Basics</t>
  </si>
  <si>
    <t>Unit 3</t>
  </si>
  <si>
    <t>Listener and Servlet Filter</t>
  </si>
  <si>
    <r>
      <rPr>
        <b/>
        <sz val="10"/>
        <rFont val="Arial"/>
        <family val="2"/>
      </rPr>
      <t>Day1 - Unit 1: JSP/Servlet Basics</t>
    </r>
    <r>
      <rPr>
        <i/>
        <sz val="10"/>
        <rFont val="Arial"/>
        <family val="2"/>
      </rPr>
      <t xml:space="preserve">
- </t>
    </r>
    <r>
      <rPr>
        <sz val="10"/>
        <rFont val="Arial"/>
        <family val="2"/>
      </rPr>
      <t>Lecture1.1_Java Server Pages
- Lecture1.2_Java Servlet Programming</t>
    </r>
    <r>
      <rPr>
        <i/>
        <sz val="10"/>
        <rFont val="Arial"/>
        <family val="2"/>
      </rPr>
      <t xml:space="preserve">
</t>
    </r>
    <r>
      <rPr>
        <b/>
        <sz val="10"/>
        <rFont val="Arial"/>
        <family val="2"/>
      </rPr>
      <t>Day2 - Unit 2: MVC Model and Session Tracking</t>
    </r>
    <r>
      <rPr>
        <sz val="10"/>
        <rFont val="Arial"/>
        <family val="2"/>
      </rPr>
      <t xml:space="preserve">
- Lecture2.1_JSP/Servlet with MVC Model
- Lecture2.2_Intefaces in Servlet and Session Tracking
</t>
    </r>
    <r>
      <rPr>
        <b/>
        <sz val="10"/>
        <rFont val="Arial"/>
        <family val="2"/>
      </rPr>
      <t>Day3 - Unit 3: Listener and Servlet Filter</t>
    </r>
    <r>
      <rPr>
        <sz val="10"/>
        <rFont val="Arial"/>
        <family val="2"/>
      </rPr>
      <t xml:space="preserve">
- Lecture3.1_Listener and Servlet Filter
- Lecrure3.2_Pagination Example</t>
    </r>
    <r>
      <rPr>
        <i/>
        <sz val="10"/>
        <rFont val="Arial"/>
        <family val="2"/>
      </rPr>
      <t xml:space="preserve">
</t>
    </r>
    <r>
      <rPr>
        <b/>
        <sz val="10"/>
        <rFont val="Arial"/>
        <family val="2"/>
      </rPr>
      <t>Day4</t>
    </r>
    <r>
      <rPr>
        <i/>
        <sz val="10"/>
        <rFont val="Arial"/>
        <family val="2"/>
      </rPr>
      <t xml:space="preserve">: </t>
    </r>
    <r>
      <rPr>
        <sz val="10"/>
        <rFont val="Arial"/>
        <family val="2"/>
      </rPr>
      <t xml:space="preserve">Topic Revision &amp; Final Test  </t>
    </r>
  </si>
  <si>
    <t>MVC Model and Session Tracking</t>
  </si>
  <si>
    <t>Daily Assignment Review &amp; Guides</t>
  </si>
  <si>
    <t>Seminar/Workshop</t>
  </si>
  <si>
    <t>Introduction to the course</t>
  </si>
  <si>
    <t>Giới thiệu về các nội dung sẽ học, cách học, các hình thức kiểm tra, thời gian kiểm tra, các tài liệu tham khảo dựa trên nội dung Syllabus này</t>
  </si>
  <si>
    <t>Lecture0</t>
  </si>
  <si>
    <t>Unit01</t>
  </si>
  <si>
    <t>Quiz 01</t>
  </si>
  <si>
    <t>Practice Time: Assignment</t>
  </si>
  <si>
    <t>Học viên tham gia hoạt động Golden time or English club</t>
  </si>
  <si>
    <t>Quiz 02</t>
  </si>
  <si>
    <r>
      <t xml:space="preserve">Trainer </t>
    </r>
    <r>
      <rPr>
        <u/>
        <sz val="10"/>
        <rFont val="Arial"/>
        <family val="2"/>
      </rPr>
      <t>chọn 1 option</t>
    </r>
    <r>
      <rPr>
        <sz val="10"/>
        <rFont val="Arial"/>
        <family val="2"/>
      </rPr>
      <t xml:space="preserve"> trong số các Lab và Assignment. 
- Lab: JWEB.M.L101, .. Học viên hoàn thành và submit Lab hằng ngày
- Assignment: JWEB.L.A101, JWEB.L.A102, ..
Đây là dạng Project Assignment nên học viên sẽ hoàn thành và submit trước khi FinalTest hoặc theo yêu cầu của Giảng viên</t>
    </r>
  </si>
  <si>
    <t>Practice Time: Lab</t>
  </si>
  <si>
    <t>Assignment/Lab Giving</t>
  </si>
  <si>
    <r>
      <t xml:space="preserve">Trainer </t>
    </r>
    <r>
      <rPr>
        <u/>
        <sz val="10"/>
        <rFont val="Arial"/>
        <family val="2"/>
      </rPr>
      <t>chọn 1 option</t>
    </r>
    <r>
      <rPr>
        <sz val="10"/>
        <rFont val="Arial"/>
        <family val="2"/>
      </rPr>
      <t xml:space="preserve"> trong số các Lab 
- Lab: JWEB.M.L201, .. Học viên hoàn thành và submit Lab hằng ngày</t>
    </r>
  </si>
  <si>
    <t>Học viên thực hiện Daily Lab Guide đã giao</t>
  </si>
  <si>
    <t>Lecture3.1</t>
  </si>
  <si>
    <t>Lecture3.1_Listener and Servlet Filter.pptx</t>
  </si>
  <si>
    <r>
      <t xml:space="preserve">Trainer </t>
    </r>
    <r>
      <rPr>
        <u/>
        <sz val="10"/>
        <rFont val="Arial"/>
        <family val="2"/>
      </rPr>
      <t>chọn 1 option</t>
    </r>
    <r>
      <rPr>
        <sz val="10"/>
        <rFont val="Arial"/>
        <family val="2"/>
      </rPr>
      <t xml:space="preserve"> trong số các Lab 
- Lab: JWEB.M.L301, .. Học viên hoàn thành và submit Lab hằng ngày</t>
    </r>
  </si>
  <si>
    <t>Day 4</t>
  </si>
  <si>
    <t>Học viên ôn tập, giảng viên chữa Assignment</t>
  </si>
  <si>
    <t>v4.0</t>
  </si>
  <si>
    <t>Có hiểu biết về các kiến trúc phần mềm: Client-Server, MVC</t>
  </si>
  <si>
    <t>K6SD</t>
  </si>
  <si>
    <t>Head First Servlets &amp; JSP_ 2nd ed.pdf</t>
  </si>
  <si>
    <t>https://www.javatpoint.com/servlet-tutorial</t>
  </si>
  <si>
    <t>https://www.tutorialspoint.com/servlets/index.htm</t>
  </si>
  <si>
    <t>- Trainer marks the Final Exam Practice, Final Exam Theory, Assignment. In case trainees have to retake the exam, the mark point is calculated as follows:
- If the test score &gt; = 6, take point 6
- If the test score &lt; 6, take that score</t>
  </si>
  <si>
    <t>Only allow each student to retake the test up to 2 times; Re-exam the same structure as the first test</t>
  </si>
  <si>
    <t>70%
------------------------------------
40% theory (to do in 0.75h) 
60% practice (to do in 2.0 h)</t>
  </si>
  <si>
    <t>Add Quiz</t>
  </si>
  <si>
    <t>3.3</t>
  </si>
  <si>
    <t>Release for review</t>
  </si>
  <si>
    <t>3.7</t>
  </si>
  <si>
    <t>Update: Final Assessment</t>
  </si>
  <si>
    <t>Release for approve</t>
  </si>
  <si>
    <t>3.9</t>
  </si>
  <si>
    <t>Approve</t>
  </si>
  <si>
    <t>4.0</t>
  </si>
  <si>
    <t>Update Course Objectives
Topic Outline
Update Schedule</t>
  </si>
  <si>
    <t>Update review comments:
Assessment Scheme, Text book, References</t>
  </si>
  <si>
    <t>Thực hiện sau khi học viên bắt đầu làm bài được 1-2h (để học viên có đủ thời gian tự tìm hiểu kỹ trước khi hỏi hoặc nhờ hỗ trợ); Inputs gồm: Danh sách các câu hỏi liên quan đến Assignment trong ngày
Khung giờ này, học viên có thể tham gia hoạt động Golden time or English club</t>
  </si>
  <si>
    <t>MVC &amp; JSP Models</t>
  </si>
  <si>
    <t>Lecture2.1_MVC &amp; JSP Models.pptx</t>
  </si>
  <si>
    <t>Advanced Servlet and Session Tracking</t>
  </si>
  <si>
    <t>Lecture2.2_Advanced Servlet and Session Tracking.pptx</t>
  </si>
  <si>
    <t>15% (2 quizzes, to do in 15-30 minutes)</t>
  </si>
  <si>
    <t>Quiz 02: 10-20 questions/15-30 minutes</t>
  </si>
  <si>
    <t>Quiz 01: 10-20 questions/15-30 minutes</t>
  </si>
  <si>
    <t>Nguyễn Anh Tuấn</t>
  </si>
  <si>
    <t>TuanNA34</t>
  </si>
  <si>
    <t>Nguyễn Văn Vinh</t>
  </si>
  <si>
    <t>VinhNV</t>
  </si>
  <si>
    <t>FWA.FA</t>
  </si>
  <si>
    <t>Chọn 1 trong các Options để cho thi: JWEB.Practice.T01, JWEB.Practice.T02, …</t>
  </si>
  <si>
    <t>Questions Bank: chọn 30 câu chia đều cho các ngày học.</t>
  </si>
  <si>
    <t>Học viên hoàn thành và submit Assignment đã giao</t>
  </si>
  <si>
    <t>Học viên thực hiện Specification 2 trong Assignment đã giao</t>
  </si>
  <si>
    <t>Học viên thực hiện Specification 1 trong Assignment đã 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</si>
</sst>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[$-409]d\-mmm\-yyyy;@"/>
  </numFmts>
  <fonts count="17" x14ac:knownFonts="1"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9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4">
    <xf numFmtId="0" fontId="0" fillId="0" borderId="0" xfId="0"/>
    <xf numFmtId="0" fontId="10" fillId="0" borderId="0" xfId="3"/>
    <xf numFmtId="9" fontId="2" fillId="0" borderId="0" xfId="5" applyFont="1"/>
    <xf numFmtId="0" fontId="8" fillId="2" borderId="1" xfId="3" applyFont="1" applyFill="1" applyBorder="1" applyAlignment="1">
      <alignment horizontal="left" vertical="top"/>
    </xf>
    <xf numFmtId="0" fontId="8" fillId="2" borderId="1" xfId="0" applyFont="1" applyFill="1" applyBorder="1" applyAlignment="1">
      <alignment vertical="top"/>
    </xf>
    <xf numFmtId="0" fontId="8" fillId="2" borderId="1" xfId="3" applyFont="1" applyFill="1" applyBorder="1" applyAlignment="1">
      <alignment vertical="top"/>
    </xf>
    <xf numFmtId="0" fontId="8" fillId="2" borderId="1" xfId="3" applyFont="1" applyFill="1" applyBorder="1" applyAlignment="1">
      <alignment vertical="top" wrapText="1"/>
    </xf>
    <xf numFmtId="0" fontId="8" fillId="2" borderId="1" xfId="0" applyNumberFormat="1" applyFont="1" applyFill="1" applyBorder="1" applyAlignment="1">
      <alignment vertical="top" wrapText="1"/>
    </xf>
    <xf numFmtId="2" fontId="8" fillId="2" borderId="1" xfId="3" applyNumberFormat="1" applyFont="1" applyFill="1" applyBorder="1" applyAlignment="1">
      <alignment horizontal="center" vertical="top"/>
    </xf>
    <xf numFmtId="2" fontId="8" fillId="2" borderId="1" xfId="0" applyNumberFormat="1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3" borderId="1" xfId="3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0" xfId="3" applyFont="1" applyFill="1"/>
    <xf numFmtId="0" fontId="8" fillId="3" borderId="0" xfId="3" applyFont="1" applyFill="1" applyAlignment="1">
      <alignment horizontal="left"/>
    </xf>
    <xf numFmtId="0" fontId="8" fillId="3" borderId="0" xfId="3" applyFont="1" applyFill="1" applyAlignment="1">
      <alignment horizontal="right"/>
    </xf>
    <xf numFmtId="2" fontId="8" fillId="3" borderId="1" xfId="3" applyNumberFormat="1" applyFont="1" applyFill="1" applyBorder="1" applyAlignment="1">
      <alignment horizontal="center"/>
    </xf>
    <xf numFmtId="9" fontId="8" fillId="3" borderId="1" xfId="5" applyNumberFormat="1" applyFont="1" applyFill="1" applyBorder="1" applyAlignment="1">
      <alignment horizontal="left"/>
    </xf>
    <xf numFmtId="164" fontId="6" fillId="3" borderId="1" xfId="3" applyNumberFormat="1" applyFont="1" applyFill="1" applyBorder="1" applyAlignment="1">
      <alignment horizontal="center"/>
    </xf>
    <xf numFmtId="9" fontId="6" fillId="3" borderId="1" xfId="3" applyNumberFormat="1" applyFont="1" applyFill="1" applyBorder="1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15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6" fillId="3" borderId="9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 wrapText="1"/>
    </xf>
    <xf numFmtId="0" fontId="8" fillId="2" borderId="15" xfId="3" applyFont="1" applyFill="1" applyBorder="1" applyAlignment="1">
      <alignment horizontal="left" vertical="top"/>
    </xf>
    <xf numFmtId="0" fontId="8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9" fontId="8" fillId="3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" fillId="2" borderId="8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top"/>
    </xf>
    <xf numFmtId="0" fontId="8" fillId="2" borderId="8" xfId="0" applyFont="1" applyFill="1" applyBorder="1" applyAlignment="1">
      <alignment vertical="top"/>
    </xf>
    <xf numFmtId="0" fontId="8" fillId="2" borderId="15" xfId="0" applyFont="1" applyFill="1" applyBorder="1" applyAlignment="1">
      <alignment vertical="top"/>
    </xf>
    <xf numFmtId="0" fontId="8" fillId="2" borderId="3" xfId="0" applyFont="1" applyFill="1" applyBorder="1" applyAlignment="1">
      <alignment vertical="top" wrapText="1"/>
    </xf>
    <xf numFmtId="0" fontId="8" fillId="2" borderId="8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/>
    </xf>
    <xf numFmtId="0" fontId="8" fillId="2" borderId="15" xfId="0" applyNumberFormat="1" applyFont="1" applyFill="1" applyBorder="1" applyAlignment="1">
      <alignment vertical="top" wrapText="1"/>
    </xf>
    <xf numFmtId="0" fontId="2" fillId="2" borderId="2" xfId="0" quotePrefix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15" xfId="3" applyFont="1" applyFill="1" applyBorder="1" applyAlignment="1">
      <alignment horizontal="left" vertical="top" wrapText="1"/>
    </xf>
    <xf numFmtId="0" fontId="8" fillId="2" borderId="8" xfId="3" applyFont="1" applyFill="1" applyBorder="1" applyAlignment="1">
      <alignment vertical="top"/>
    </xf>
    <xf numFmtId="165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8" fillId="2" borderId="2" xfId="0" quotePrefix="1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16" fillId="2" borderId="2" xfId="8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2" xfId="0" quotePrefix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5" fillId="3" borderId="0" xfId="3" applyFont="1" applyFill="1" applyAlignment="1">
      <alignment horizontal="center" vertical="center"/>
    </xf>
    <xf numFmtId="0" fontId="6" fillId="3" borderId="14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/>
    </xf>
    <xf numFmtId="0" fontId="8" fillId="2" borderId="3" xfId="3" applyFont="1" applyFill="1" applyBorder="1" applyAlignment="1">
      <alignment horizontal="left" vertical="top"/>
    </xf>
    <xf numFmtId="0" fontId="8" fillId="2" borderId="8" xfId="3" applyFont="1" applyFill="1" applyBorder="1" applyAlignment="1">
      <alignment horizontal="left" vertical="top"/>
    </xf>
    <xf numFmtId="0" fontId="8" fillId="2" borderId="15" xfId="3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left"/>
    </xf>
    <xf numFmtId="0" fontId="7" fillId="3" borderId="0" xfId="0" applyFont="1" applyFill="1" applyAlignment="1">
      <alignment horizontal="left" vertical="center"/>
    </xf>
  </cellXfs>
  <cellStyles count="9">
    <cellStyle name="Comma 2" xfId="1"/>
    <cellStyle name="Comma 3" xfId="2"/>
    <cellStyle name="Hyperlink" xfId="8" builtinId="8"/>
    <cellStyle name="Normal" xfId="0" builtinId="0" customBuiltin="1"/>
    <cellStyle name="Normal 2" xfId="3"/>
    <cellStyle name="Normal 3" xfId="4"/>
    <cellStyle name="Percent" xfId="5" builtin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utorialspoint.com/servlets/index.htm" TargetMode="External"/><Relationship Id="rId1" Type="http://schemas.openxmlformats.org/officeDocument/2006/relationships/hyperlink" Target="https://www.javatpoint.com/servlet-tutorial" TargetMode="External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zoomScale="85" zoomScaleNormal="85" zoomScaleSheetLayoutView="100" workbookViewId="0">
      <selection activeCell="D32" sqref="D32:F32"/>
    </sheetView>
  </sheetViews>
  <sheetFormatPr defaultColWidth="9.1796875" defaultRowHeight="12.5" x14ac:dyDescent="0.25"/>
  <cols>
    <col min="1" max="1" width="4.81640625" style="29" customWidth="1"/>
    <col min="2" max="2" width="17.453125" style="29" customWidth="1"/>
    <col min="3" max="3" width="19.1796875" style="29" customWidth="1"/>
    <col min="4" max="4" width="9.7265625" style="29" customWidth="1"/>
    <col min="5" max="5" width="54.26953125" style="29" customWidth="1"/>
    <col min="6" max="6" width="12.453125" style="29" customWidth="1"/>
    <col min="7" max="7" width="0.1796875" style="29" customWidth="1"/>
    <col min="8" max="16384" width="9.1796875" style="29"/>
  </cols>
  <sheetData>
    <row r="1" spans="1:7" ht="29.25" customHeight="1" x14ac:dyDescent="0.25">
      <c r="A1" s="63" t="str">
        <f>C3&amp;"-Syllabus"</f>
        <v>Java Technologies for Web Applications-Syllabus</v>
      </c>
      <c r="B1" s="63"/>
      <c r="C1" s="63"/>
      <c r="D1" s="63"/>
      <c r="E1" s="63"/>
      <c r="F1" s="63"/>
    </row>
    <row r="2" spans="1:7" ht="13" x14ac:dyDescent="0.25">
      <c r="A2" s="30"/>
    </row>
    <row r="3" spans="1:7" ht="13" x14ac:dyDescent="0.25">
      <c r="A3" s="31">
        <v>1</v>
      </c>
      <c r="B3" s="32" t="s">
        <v>11</v>
      </c>
      <c r="C3" s="85" t="s">
        <v>86</v>
      </c>
      <c r="D3" s="86"/>
      <c r="E3" s="86"/>
      <c r="F3" s="87"/>
    </row>
    <row r="4" spans="1:7" ht="13" x14ac:dyDescent="0.25">
      <c r="A4" s="33">
        <v>2</v>
      </c>
      <c r="B4" s="34" t="s">
        <v>10</v>
      </c>
      <c r="C4" s="88" t="s">
        <v>87</v>
      </c>
      <c r="D4" s="66"/>
      <c r="E4" s="66"/>
      <c r="F4" s="67"/>
    </row>
    <row r="5" spans="1:7" ht="13" x14ac:dyDescent="0.25">
      <c r="A5" s="33">
        <v>3</v>
      </c>
      <c r="B5" s="34" t="s">
        <v>8</v>
      </c>
      <c r="C5" s="89" t="s">
        <v>138</v>
      </c>
      <c r="D5" s="73"/>
      <c r="E5" s="73"/>
      <c r="F5" s="74"/>
    </row>
    <row r="6" spans="1:7" ht="29.25" customHeight="1" x14ac:dyDescent="0.25">
      <c r="A6" s="33">
        <v>4</v>
      </c>
      <c r="B6" s="34" t="s">
        <v>12</v>
      </c>
      <c r="C6" s="66" t="s">
        <v>82</v>
      </c>
      <c r="D6" s="66"/>
      <c r="E6" s="66"/>
      <c r="F6" s="67"/>
    </row>
    <row r="7" spans="1:7" ht="42.75" customHeight="1" x14ac:dyDescent="0.25">
      <c r="A7" s="64">
        <v>5</v>
      </c>
      <c r="B7" s="68" t="s">
        <v>13</v>
      </c>
      <c r="C7" s="66" t="s">
        <v>85</v>
      </c>
      <c r="D7" s="66"/>
      <c r="E7" s="66"/>
      <c r="F7" s="67"/>
    </row>
    <row r="8" spans="1:7" ht="16.5" customHeight="1" x14ac:dyDescent="0.25">
      <c r="A8" s="64"/>
      <c r="B8" s="68"/>
      <c r="C8" s="40" t="s">
        <v>27</v>
      </c>
      <c r="D8" s="40" t="s">
        <v>28</v>
      </c>
      <c r="E8" s="71" t="s">
        <v>83</v>
      </c>
      <c r="F8" s="71"/>
    </row>
    <row r="9" spans="1:7" ht="28" customHeight="1" x14ac:dyDescent="0.25">
      <c r="A9" s="64"/>
      <c r="B9" s="68"/>
      <c r="C9" s="41" t="s">
        <v>84</v>
      </c>
      <c r="D9" s="42" t="s">
        <v>140</v>
      </c>
      <c r="E9" s="90" t="s">
        <v>139</v>
      </c>
      <c r="F9" s="90"/>
    </row>
    <row r="10" spans="1:7" ht="28" customHeight="1" x14ac:dyDescent="0.25">
      <c r="A10" s="64"/>
      <c r="B10" s="68"/>
      <c r="C10" s="41" t="s">
        <v>88</v>
      </c>
      <c r="D10" s="42" t="s">
        <v>89</v>
      </c>
      <c r="E10" s="91" t="s">
        <v>91</v>
      </c>
      <c r="F10" s="92"/>
    </row>
    <row r="11" spans="1:7" ht="141" customHeight="1" x14ac:dyDescent="0.25">
      <c r="A11" s="64"/>
      <c r="B11" s="68"/>
      <c r="C11" s="72" t="s">
        <v>90</v>
      </c>
      <c r="D11" s="73"/>
      <c r="E11" s="73"/>
      <c r="F11" s="74"/>
    </row>
    <row r="12" spans="1:7" ht="138.5" customHeight="1" x14ac:dyDescent="0.25">
      <c r="A12" s="33">
        <v>6</v>
      </c>
      <c r="B12" s="34" t="s">
        <v>14</v>
      </c>
      <c r="C12" s="72" t="s">
        <v>116</v>
      </c>
      <c r="D12" s="73"/>
      <c r="E12" s="73"/>
      <c r="F12" s="74"/>
      <c r="G12" s="35"/>
    </row>
    <row r="13" spans="1:7" ht="16.5" customHeight="1" x14ac:dyDescent="0.25">
      <c r="A13" s="64">
        <v>7</v>
      </c>
      <c r="B13" s="65" t="s">
        <v>15</v>
      </c>
      <c r="C13" s="36" t="s">
        <v>16</v>
      </c>
      <c r="D13" s="37">
        <f>'Java Web_Schedule'!I29</f>
        <v>0.296875</v>
      </c>
      <c r="E13" s="38" t="s">
        <v>60</v>
      </c>
      <c r="F13" s="69" t="s">
        <v>112</v>
      </c>
    </row>
    <row r="14" spans="1:7" ht="16.5" customHeight="1" x14ac:dyDescent="0.25">
      <c r="A14" s="64"/>
      <c r="B14" s="65"/>
      <c r="C14" s="36" t="s">
        <v>17</v>
      </c>
      <c r="D14" s="37">
        <f>'Java Web_Schedule'!I30</f>
        <v>0.3125</v>
      </c>
      <c r="E14" s="38" t="s">
        <v>61</v>
      </c>
      <c r="F14" s="70"/>
    </row>
    <row r="15" spans="1:7" ht="16.5" customHeight="1" x14ac:dyDescent="0.25">
      <c r="A15" s="64"/>
      <c r="B15" s="65"/>
      <c r="C15" s="36" t="s">
        <v>19</v>
      </c>
      <c r="D15" s="37">
        <f>'Java Web_Schedule'!I31</f>
        <v>0.2109375</v>
      </c>
      <c r="E15" s="38" t="s">
        <v>62</v>
      </c>
      <c r="F15" s="70"/>
    </row>
    <row r="16" spans="1:7" ht="16.5" customHeight="1" x14ac:dyDescent="0.25">
      <c r="A16" s="64"/>
      <c r="B16" s="65"/>
      <c r="C16" s="36" t="s">
        <v>18</v>
      </c>
      <c r="D16" s="37">
        <f>'Java Web_Schedule'!I32</f>
        <v>3.125E-2</v>
      </c>
      <c r="E16" s="38" t="s">
        <v>63</v>
      </c>
      <c r="F16" s="70"/>
    </row>
    <row r="17" spans="1:6" ht="16.5" customHeight="1" x14ac:dyDescent="0.25">
      <c r="A17" s="64"/>
      <c r="B17" s="65"/>
      <c r="C17" s="36" t="s">
        <v>42</v>
      </c>
      <c r="D17" s="37">
        <f>'Java Web_Schedule'!I34</f>
        <v>0.1015625</v>
      </c>
      <c r="E17" s="38" t="s">
        <v>64</v>
      </c>
      <c r="F17" s="70"/>
    </row>
    <row r="18" spans="1:6" ht="12.75" customHeight="1" x14ac:dyDescent="0.25">
      <c r="A18" s="64">
        <v>8</v>
      </c>
      <c r="B18" s="65" t="s">
        <v>29</v>
      </c>
      <c r="C18" s="77" t="s">
        <v>20</v>
      </c>
      <c r="D18" s="72" t="s">
        <v>141</v>
      </c>
      <c r="E18" s="73"/>
      <c r="F18" s="74"/>
    </row>
    <row r="19" spans="1:6" ht="12.75" customHeight="1" x14ac:dyDescent="0.25">
      <c r="A19" s="64"/>
      <c r="B19" s="65"/>
      <c r="C19" s="77"/>
      <c r="D19" s="72"/>
      <c r="E19" s="73"/>
      <c r="F19" s="74"/>
    </row>
    <row r="20" spans="1:6" ht="12.75" customHeight="1" x14ac:dyDescent="0.25">
      <c r="A20" s="64"/>
      <c r="B20" s="65"/>
      <c r="C20" s="77" t="s">
        <v>2</v>
      </c>
      <c r="D20" s="81" t="s">
        <v>142</v>
      </c>
      <c r="E20" s="82"/>
      <c r="F20" s="83"/>
    </row>
    <row r="21" spans="1:6" ht="12.75" customHeight="1" x14ac:dyDescent="0.25">
      <c r="A21" s="64"/>
      <c r="B21" s="65"/>
      <c r="C21" s="77"/>
      <c r="D21" s="81" t="s">
        <v>143</v>
      </c>
      <c r="E21" s="82"/>
      <c r="F21" s="83"/>
    </row>
    <row r="22" spans="1:6" ht="12.75" customHeight="1" x14ac:dyDescent="0.25">
      <c r="A22" s="64"/>
      <c r="B22" s="65"/>
      <c r="C22" s="77"/>
      <c r="D22" s="84"/>
      <c r="E22" s="82"/>
      <c r="F22" s="83"/>
    </row>
    <row r="23" spans="1:6" ht="90" customHeight="1" x14ac:dyDescent="0.25">
      <c r="A23" s="64"/>
      <c r="B23" s="65"/>
      <c r="C23" s="36" t="s">
        <v>21</v>
      </c>
      <c r="D23" s="66" t="s">
        <v>110</v>
      </c>
      <c r="E23" s="66"/>
      <c r="F23" s="67"/>
    </row>
    <row r="24" spans="1:6" ht="16.5" customHeight="1" x14ac:dyDescent="0.25">
      <c r="A24" s="64">
        <v>9</v>
      </c>
      <c r="B24" s="65" t="s">
        <v>22</v>
      </c>
      <c r="C24" s="36" t="s">
        <v>23</v>
      </c>
      <c r="D24" s="66" t="s">
        <v>163</v>
      </c>
      <c r="E24" s="66"/>
      <c r="F24" s="67"/>
    </row>
    <row r="25" spans="1:6" ht="16.5" customHeight="1" x14ac:dyDescent="0.25">
      <c r="A25" s="64"/>
      <c r="B25" s="65"/>
      <c r="C25" s="36" t="s">
        <v>24</v>
      </c>
      <c r="D25" s="66" t="s">
        <v>111</v>
      </c>
      <c r="E25" s="66"/>
      <c r="F25" s="67"/>
    </row>
    <row r="26" spans="1:6" ht="59" customHeight="1" x14ac:dyDescent="0.25">
      <c r="A26" s="64"/>
      <c r="B26" s="65"/>
      <c r="C26" s="36" t="s">
        <v>25</v>
      </c>
      <c r="D26" s="66" t="s">
        <v>146</v>
      </c>
      <c r="E26" s="66"/>
      <c r="F26" s="67"/>
    </row>
    <row r="27" spans="1:6" ht="32.25" customHeight="1" x14ac:dyDescent="0.25">
      <c r="A27" s="64"/>
      <c r="B27" s="65"/>
      <c r="C27" s="36" t="s">
        <v>26</v>
      </c>
      <c r="D27" s="66" t="s">
        <v>70</v>
      </c>
      <c r="E27" s="66"/>
      <c r="F27" s="67"/>
    </row>
    <row r="28" spans="1:6" ht="31.5" customHeight="1" x14ac:dyDescent="0.25">
      <c r="A28" s="64">
        <v>10</v>
      </c>
      <c r="B28" s="68" t="s">
        <v>30</v>
      </c>
      <c r="C28" s="36" t="s">
        <v>32</v>
      </c>
      <c r="D28" s="66" t="s">
        <v>109</v>
      </c>
      <c r="E28" s="66"/>
      <c r="F28" s="67"/>
    </row>
    <row r="29" spans="1:6" ht="35.5" customHeight="1" x14ac:dyDescent="0.25">
      <c r="A29" s="64"/>
      <c r="B29" s="68"/>
      <c r="C29" s="36" t="s">
        <v>33</v>
      </c>
      <c r="D29" s="78" t="s">
        <v>108</v>
      </c>
      <c r="E29" s="66"/>
      <c r="F29" s="67"/>
    </row>
    <row r="30" spans="1:6" ht="56" customHeight="1" x14ac:dyDescent="0.25">
      <c r="A30" s="64"/>
      <c r="B30" s="68"/>
      <c r="C30" s="36" t="s">
        <v>34</v>
      </c>
      <c r="D30" s="66" t="s">
        <v>107</v>
      </c>
      <c r="E30" s="66"/>
      <c r="F30" s="67"/>
    </row>
    <row r="31" spans="1:6" ht="39" customHeight="1" x14ac:dyDescent="0.25">
      <c r="A31" s="64"/>
      <c r="B31" s="68"/>
      <c r="C31" s="36" t="s">
        <v>31</v>
      </c>
      <c r="D31" s="66" t="s">
        <v>145</v>
      </c>
      <c r="E31" s="66"/>
      <c r="F31" s="67"/>
    </row>
    <row r="32" spans="1:6" ht="63" customHeight="1" x14ac:dyDescent="0.25">
      <c r="A32" s="64"/>
      <c r="B32" s="68"/>
      <c r="C32" s="36" t="s">
        <v>43</v>
      </c>
      <c r="D32" s="78" t="s">
        <v>144</v>
      </c>
      <c r="E32" s="66"/>
      <c r="F32" s="67"/>
    </row>
    <row r="33" spans="1:6" ht="28.5" customHeight="1" x14ac:dyDescent="0.25">
      <c r="A33" s="64"/>
      <c r="B33" s="68"/>
      <c r="C33" s="36" t="s">
        <v>50</v>
      </c>
      <c r="D33" s="75" t="s">
        <v>106</v>
      </c>
      <c r="E33" s="75"/>
      <c r="F33" s="76"/>
    </row>
    <row r="34" spans="1:6" ht="40.5" customHeight="1" x14ac:dyDescent="0.25">
      <c r="A34" s="79"/>
      <c r="B34" s="80"/>
      <c r="C34" s="39" t="s">
        <v>35</v>
      </c>
      <c r="D34" s="75" t="s">
        <v>105</v>
      </c>
      <c r="E34" s="75"/>
      <c r="F34" s="76"/>
    </row>
  </sheetData>
  <mergeCells count="41">
    <mergeCell ref="D19:F19"/>
    <mergeCell ref="D20:F20"/>
    <mergeCell ref="C3:F3"/>
    <mergeCell ref="C4:F4"/>
    <mergeCell ref="C5:F5"/>
    <mergeCell ref="C6:F6"/>
    <mergeCell ref="C12:F12"/>
    <mergeCell ref="E9:F9"/>
    <mergeCell ref="E10:F10"/>
    <mergeCell ref="D34:F34"/>
    <mergeCell ref="C18:C19"/>
    <mergeCell ref="D32:F32"/>
    <mergeCell ref="A28:A34"/>
    <mergeCell ref="B28:B34"/>
    <mergeCell ref="D29:F29"/>
    <mergeCell ref="C20:C22"/>
    <mergeCell ref="B18:B23"/>
    <mergeCell ref="D21:F21"/>
    <mergeCell ref="D28:F28"/>
    <mergeCell ref="A18:A23"/>
    <mergeCell ref="D23:F23"/>
    <mergeCell ref="D30:F30"/>
    <mergeCell ref="D31:F31"/>
    <mergeCell ref="D33:F33"/>
    <mergeCell ref="D22:F22"/>
    <mergeCell ref="A1:F1"/>
    <mergeCell ref="A24:A27"/>
    <mergeCell ref="B24:B27"/>
    <mergeCell ref="D24:F24"/>
    <mergeCell ref="D25:F25"/>
    <mergeCell ref="B7:B11"/>
    <mergeCell ref="C7:F7"/>
    <mergeCell ref="A13:A17"/>
    <mergeCell ref="F13:F17"/>
    <mergeCell ref="B13:B17"/>
    <mergeCell ref="E8:F8"/>
    <mergeCell ref="A7:A11"/>
    <mergeCell ref="C11:F11"/>
    <mergeCell ref="D18:F18"/>
    <mergeCell ref="D26:F26"/>
    <mergeCell ref="D27:F27"/>
  </mergeCells>
  <phoneticPr fontId="4" type="noConversion"/>
  <hyperlinks>
    <hyperlink ref="D20" r:id="rId1"/>
    <hyperlink ref="D21" r:id="rId2"/>
  </hyperlinks>
  <pageMargins left="0.70866141732283505" right="0.70866141732283505" top="0.31496062992126" bottom="0.31496062992126" header="0.23622047244094499" footer="0.23622047244094499"/>
  <pageSetup paperSize="9" scale="90" orientation="landscape" r:id="rId3"/>
  <headerFooter>
    <oddFooter>&amp;L18e-BM/DT/FSOFT v1/1&amp;CInternal use&amp;R&amp;P/&amp;N</oddFooter>
  </headerFooter>
  <customProperties>
    <customPr name="DVSECTION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zoomScale="85" zoomScaleNormal="85" zoomScaleSheetLayoutView="100" workbookViewId="0">
      <pane ySplit="2" topLeftCell="A3" activePane="bottomLeft" state="frozen"/>
      <selection pane="bottomLeft" activeCell="J8" sqref="J8"/>
    </sheetView>
  </sheetViews>
  <sheetFormatPr defaultColWidth="9" defaultRowHeight="12.5" x14ac:dyDescent="0.25"/>
  <cols>
    <col min="1" max="1" width="8.81640625" style="15" customWidth="1"/>
    <col min="2" max="2" width="23.54296875" style="15" customWidth="1"/>
    <col min="3" max="3" width="7.453125" style="15" customWidth="1"/>
    <col min="4" max="4" width="13" style="16" customWidth="1"/>
    <col min="5" max="5" width="31.81640625" style="15" customWidth="1"/>
    <col min="6" max="6" width="10.453125" style="15" customWidth="1"/>
    <col min="7" max="7" width="14.54296875" style="15" customWidth="1"/>
    <col min="8" max="9" width="9.1796875" style="17" customWidth="1"/>
    <col min="10" max="10" width="51.54296875" style="17" customWidth="1"/>
    <col min="11" max="16384" width="9" style="15"/>
  </cols>
  <sheetData>
    <row r="1" spans="1:10" ht="36.75" customHeight="1" x14ac:dyDescent="0.25">
      <c r="A1" s="93" t="str">
        <f>"Java Web_Syllabus" &amp; " - Training Schedule"</f>
        <v>Java Web_Syllabus - Training Schedule</v>
      </c>
      <c r="B1" s="93"/>
      <c r="C1" s="93"/>
      <c r="D1" s="93"/>
      <c r="E1" s="93"/>
      <c r="F1" s="93"/>
      <c r="G1" s="93"/>
      <c r="H1" s="93"/>
      <c r="I1" s="93"/>
      <c r="J1" s="93"/>
    </row>
    <row r="2" spans="1:10" ht="39" customHeight="1" x14ac:dyDescent="0.25">
      <c r="A2" s="94" t="s">
        <v>51</v>
      </c>
      <c r="B2" s="95"/>
      <c r="C2" s="26" t="s">
        <v>59</v>
      </c>
      <c r="D2" s="11" t="s">
        <v>52</v>
      </c>
      <c r="E2" s="10" t="s">
        <v>39</v>
      </c>
      <c r="F2" s="27" t="s">
        <v>54</v>
      </c>
      <c r="G2" s="11" t="s">
        <v>38</v>
      </c>
      <c r="H2" s="11" t="s">
        <v>95</v>
      </c>
      <c r="I2" s="11" t="s">
        <v>55</v>
      </c>
      <c r="J2" s="11" t="s">
        <v>40</v>
      </c>
    </row>
    <row r="3" spans="1:10" ht="43.5" customHeight="1" x14ac:dyDescent="0.25">
      <c r="A3" s="45" t="s">
        <v>123</v>
      </c>
      <c r="B3" s="48" t="s">
        <v>113</v>
      </c>
      <c r="C3" s="57" t="s">
        <v>96</v>
      </c>
      <c r="D3" s="3" t="s">
        <v>122</v>
      </c>
      <c r="E3" s="7" t="s">
        <v>120</v>
      </c>
      <c r="F3" s="56" t="s">
        <v>89</v>
      </c>
      <c r="G3" s="4" t="s">
        <v>16</v>
      </c>
      <c r="H3" s="9">
        <v>0.5</v>
      </c>
      <c r="I3" s="8" t="s">
        <v>56</v>
      </c>
      <c r="J3" s="6" t="s">
        <v>121</v>
      </c>
    </row>
    <row r="4" spans="1:10" ht="18.75" customHeight="1" x14ac:dyDescent="0.25">
      <c r="A4" s="46"/>
      <c r="B4" s="49"/>
      <c r="C4" s="43"/>
      <c r="D4" s="3" t="s">
        <v>92</v>
      </c>
      <c r="E4" s="7" t="s">
        <v>80</v>
      </c>
      <c r="F4" s="56" t="s">
        <v>89</v>
      </c>
      <c r="G4" s="4" t="s">
        <v>16</v>
      </c>
      <c r="H4" s="9">
        <v>1.5</v>
      </c>
      <c r="I4" s="8" t="s">
        <v>56</v>
      </c>
      <c r="J4" s="5" t="s">
        <v>99</v>
      </c>
    </row>
    <row r="5" spans="1:10" ht="18.75" customHeight="1" x14ac:dyDescent="0.25">
      <c r="A5" s="46"/>
      <c r="B5" s="49"/>
      <c r="C5" s="43"/>
      <c r="D5" s="3" t="s">
        <v>93</v>
      </c>
      <c r="E5" s="7" t="s">
        <v>81</v>
      </c>
      <c r="F5" s="56" t="s">
        <v>89</v>
      </c>
      <c r="G5" s="4" t="s">
        <v>16</v>
      </c>
      <c r="H5" s="9">
        <v>2</v>
      </c>
      <c r="I5" s="8" t="s">
        <v>56</v>
      </c>
      <c r="J5" s="5" t="s">
        <v>100</v>
      </c>
    </row>
    <row r="6" spans="1:10" ht="81" customHeight="1" x14ac:dyDescent="0.25">
      <c r="A6" s="46"/>
      <c r="B6" s="49"/>
      <c r="C6" s="43"/>
      <c r="D6" s="51" t="s">
        <v>17</v>
      </c>
      <c r="E6" s="7" t="s">
        <v>130</v>
      </c>
      <c r="F6" s="56" t="s">
        <v>89</v>
      </c>
      <c r="G6" s="4" t="s">
        <v>19</v>
      </c>
      <c r="H6" s="9">
        <v>0.25</v>
      </c>
      <c r="I6" s="8" t="s">
        <v>56</v>
      </c>
      <c r="J6" s="6" t="s">
        <v>128</v>
      </c>
    </row>
    <row r="7" spans="1:10" ht="18.75" customHeight="1" x14ac:dyDescent="0.25">
      <c r="A7" s="46"/>
      <c r="B7" s="49"/>
      <c r="C7" s="43"/>
      <c r="D7" s="59"/>
      <c r="E7" s="7" t="s">
        <v>129</v>
      </c>
      <c r="F7" s="56" t="s">
        <v>89</v>
      </c>
      <c r="G7" s="4" t="s">
        <v>17</v>
      </c>
      <c r="H7" s="9">
        <v>1</v>
      </c>
      <c r="I7" s="8" t="s">
        <v>56</v>
      </c>
      <c r="J7" s="5" t="s">
        <v>132</v>
      </c>
    </row>
    <row r="8" spans="1:10" ht="18.75" customHeight="1" x14ac:dyDescent="0.25">
      <c r="A8" s="46"/>
      <c r="B8" s="49"/>
      <c r="C8" s="43"/>
      <c r="D8" s="59"/>
      <c r="E8" s="7" t="s">
        <v>125</v>
      </c>
      <c r="F8" s="56" t="s">
        <v>89</v>
      </c>
      <c r="G8" s="4" t="s">
        <v>17</v>
      </c>
      <c r="H8" s="9">
        <v>1.75</v>
      </c>
      <c r="I8" s="8" t="s">
        <v>56</v>
      </c>
      <c r="J8" s="5" t="s">
        <v>175</v>
      </c>
    </row>
    <row r="9" spans="1:10" ht="87.5" x14ac:dyDescent="0.25">
      <c r="A9" s="46"/>
      <c r="B9" s="49"/>
      <c r="C9" s="43"/>
      <c r="D9" s="28"/>
      <c r="E9" s="52" t="s">
        <v>118</v>
      </c>
      <c r="F9" s="56" t="s">
        <v>89</v>
      </c>
      <c r="G9" s="4" t="s">
        <v>19</v>
      </c>
      <c r="H9" s="9">
        <v>1</v>
      </c>
      <c r="I9" s="8" t="s">
        <v>56</v>
      </c>
      <c r="J9" s="6" t="s">
        <v>158</v>
      </c>
    </row>
    <row r="10" spans="1:10" ht="19" customHeight="1" x14ac:dyDescent="0.25">
      <c r="A10" s="45" t="s">
        <v>104</v>
      </c>
      <c r="B10" s="55" t="s">
        <v>117</v>
      </c>
      <c r="C10" s="48" t="s">
        <v>103</v>
      </c>
      <c r="D10" s="58" t="s">
        <v>23</v>
      </c>
      <c r="E10" s="7" t="s">
        <v>124</v>
      </c>
      <c r="F10" s="56" t="s">
        <v>89</v>
      </c>
      <c r="G10" s="4" t="s">
        <v>18</v>
      </c>
      <c r="H10" s="9">
        <v>0.5</v>
      </c>
      <c r="I10" s="8" t="s">
        <v>56</v>
      </c>
      <c r="J10" s="6" t="s">
        <v>165</v>
      </c>
    </row>
    <row r="11" spans="1:10" ht="19" customHeight="1" x14ac:dyDescent="0.25">
      <c r="A11" s="46"/>
      <c r="B11" s="43"/>
      <c r="C11" s="49"/>
      <c r="D11" s="3" t="s">
        <v>97</v>
      </c>
      <c r="E11" s="7" t="s">
        <v>159</v>
      </c>
      <c r="F11" s="56" t="s">
        <v>140</v>
      </c>
      <c r="G11" s="4" t="s">
        <v>16</v>
      </c>
      <c r="H11" s="9">
        <v>1.5</v>
      </c>
      <c r="I11" s="8" t="s">
        <v>56</v>
      </c>
      <c r="J11" s="5" t="s">
        <v>160</v>
      </c>
    </row>
    <row r="12" spans="1:10" ht="30" customHeight="1" x14ac:dyDescent="0.25">
      <c r="A12" s="46"/>
      <c r="B12" s="43"/>
      <c r="C12" s="49"/>
      <c r="D12" s="3" t="s">
        <v>98</v>
      </c>
      <c r="E12" s="7" t="s">
        <v>161</v>
      </c>
      <c r="F12" s="56" t="s">
        <v>140</v>
      </c>
      <c r="G12" s="4" t="s">
        <v>16</v>
      </c>
      <c r="H12" s="9">
        <v>1.5</v>
      </c>
      <c r="I12" s="8" t="s">
        <v>56</v>
      </c>
      <c r="J12" s="5" t="s">
        <v>162</v>
      </c>
    </row>
    <row r="13" spans="1:10" ht="46.5" customHeight="1" x14ac:dyDescent="0.25">
      <c r="A13" s="46"/>
      <c r="B13" s="43"/>
      <c r="C13" s="49"/>
      <c r="D13" s="51" t="s">
        <v>17</v>
      </c>
      <c r="E13" s="7" t="s">
        <v>130</v>
      </c>
      <c r="F13" s="56" t="s">
        <v>140</v>
      </c>
      <c r="G13" s="4" t="s">
        <v>19</v>
      </c>
      <c r="H13" s="9">
        <v>0.25</v>
      </c>
      <c r="I13" s="8" t="s">
        <v>56</v>
      </c>
      <c r="J13" s="6" t="s">
        <v>131</v>
      </c>
    </row>
    <row r="14" spans="1:10" ht="18.5" customHeight="1" x14ac:dyDescent="0.25">
      <c r="A14" s="46"/>
      <c r="B14" s="43"/>
      <c r="C14" s="49"/>
      <c r="D14" s="59"/>
      <c r="E14" s="7" t="s">
        <v>129</v>
      </c>
      <c r="F14" s="56" t="s">
        <v>140</v>
      </c>
      <c r="G14" s="4" t="s">
        <v>17</v>
      </c>
      <c r="H14" s="9">
        <v>1</v>
      </c>
      <c r="I14" s="8" t="s">
        <v>56</v>
      </c>
      <c r="J14" s="5" t="s">
        <v>132</v>
      </c>
    </row>
    <row r="15" spans="1:10" ht="18.5" customHeight="1" x14ac:dyDescent="0.25">
      <c r="A15" s="46"/>
      <c r="B15" s="43"/>
      <c r="C15" s="49"/>
      <c r="D15" s="59"/>
      <c r="E15" s="7" t="s">
        <v>125</v>
      </c>
      <c r="F15" s="56" t="s">
        <v>140</v>
      </c>
      <c r="G15" s="4" t="s">
        <v>17</v>
      </c>
      <c r="H15" s="9">
        <v>1.5</v>
      </c>
      <c r="I15" s="8" t="s">
        <v>56</v>
      </c>
      <c r="J15" s="5" t="s">
        <v>174</v>
      </c>
    </row>
    <row r="16" spans="1:10" ht="87.5" x14ac:dyDescent="0.25">
      <c r="A16" s="46"/>
      <c r="B16" s="43"/>
      <c r="C16" s="49"/>
      <c r="D16" s="59"/>
      <c r="E16" s="52" t="s">
        <v>118</v>
      </c>
      <c r="F16" s="56" t="s">
        <v>140</v>
      </c>
      <c r="G16" s="4" t="s">
        <v>19</v>
      </c>
      <c r="H16" s="9">
        <v>1</v>
      </c>
      <c r="I16" s="8" t="s">
        <v>56</v>
      </c>
      <c r="J16" s="6" t="s">
        <v>158</v>
      </c>
    </row>
    <row r="17" spans="1:10" ht="18.75" customHeight="1" x14ac:dyDescent="0.25">
      <c r="A17" s="47"/>
      <c r="B17" s="44"/>
      <c r="C17" s="50"/>
      <c r="D17" s="5"/>
      <c r="E17" s="52" t="s">
        <v>77</v>
      </c>
      <c r="F17" s="56" t="s">
        <v>140</v>
      </c>
      <c r="G17" s="4" t="s">
        <v>119</v>
      </c>
      <c r="H17" s="9">
        <v>0.75</v>
      </c>
      <c r="I17" s="8" t="s">
        <v>56</v>
      </c>
      <c r="J17" s="6" t="s">
        <v>126</v>
      </c>
    </row>
    <row r="18" spans="1:10" ht="19.5" customHeight="1" x14ac:dyDescent="0.25">
      <c r="A18" s="45" t="s">
        <v>114</v>
      </c>
      <c r="B18" s="55" t="s">
        <v>115</v>
      </c>
      <c r="C18" s="45" t="s">
        <v>102</v>
      </c>
      <c r="D18" s="58" t="s">
        <v>23</v>
      </c>
      <c r="E18" s="7" t="s">
        <v>127</v>
      </c>
      <c r="F18" s="56" t="s">
        <v>89</v>
      </c>
      <c r="G18" s="4" t="s">
        <v>18</v>
      </c>
      <c r="H18" s="9">
        <v>0.5</v>
      </c>
      <c r="I18" s="8" t="s">
        <v>56</v>
      </c>
      <c r="J18" s="6" t="s">
        <v>164</v>
      </c>
    </row>
    <row r="19" spans="1:10" ht="18.75" customHeight="1" x14ac:dyDescent="0.25">
      <c r="A19" s="46"/>
      <c r="B19" s="43"/>
      <c r="C19" s="49"/>
      <c r="D19" s="3" t="s">
        <v>133</v>
      </c>
      <c r="E19" s="7" t="s">
        <v>115</v>
      </c>
      <c r="F19" s="56" t="s">
        <v>89</v>
      </c>
      <c r="G19" s="4" t="s">
        <v>16</v>
      </c>
      <c r="H19" s="9">
        <v>2.5</v>
      </c>
      <c r="I19" s="8" t="s">
        <v>56</v>
      </c>
      <c r="J19" s="5" t="s">
        <v>134</v>
      </c>
    </row>
    <row r="20" spans="1:10" ht="48" customHeight="1" x14ac:dyDescent="0.25">
      <c r="A20" s="46"/>
      <c r="B20" s="43"/>
      <c r="C20" s="49"/>
      <c r="D20" s="96" t="s">
        <v>53</v>
      </c>
      <c r="E20" s="7" t="s">
        <v>94</v>
      </c>
      <c r="F20" s="56" t="s">
        <v>89</v>
      </c>
      <c r="G20" s="4" t="s">
        <v>19</v>
      </c>
      <c r="H20" s="9">
        <v>0.25</v>
      </c>
      <c r="I20" s="8" t="s">
        <v>56</v>
      </c>
      <c r="J20" s="6" t="s">
        <v>135</v>
      </c>
    </row>
    <row r="21" spans="1:10" ht="18.5" customHeight="1" x14ac:dyDescent="0.25">
      <c r="A21" s="46"/>
      <c r="B21" s="43"/>
      <c r="C21" s="49"/>
      <c r="D21" s="97"/>
      <c r="E21" s="7" t="s">
        <v>129</v>
      </c>
      <c r="F21" s="56" t="s">
        <v>89</v>
      </c>
      <c r="G21" s="4" t="s">
        <v>17</v>
      </c>
      <c r="H21" s="9">
        <v>1</v>
      </c>
      <c r="I21" s="8" t="s">
        <v>56</v>
      </c>
      <c r="J21" s="5" t="s">
        <v>132</v>
      </c>
    </row>
    <row r="22" spans="1:10" ht="18.5" customHeight="1" x14ac:dyDescent="0.25">
      <c r="A22" s="46"/>
      <c r="B22" s="43"/>
      <c r="C22" s="49"/>
      <c r="D22" s="97"/>
      <c r="E22" s="7" t="s">
        <v>125</v>
      </c>
      <c r="F22" s="56" t="s">
        <v>89</v>
      </c>
      <c r="G22" s="4" t="s">
        <v>17</v>
      </c>
      <c r="H22" s="9">
        <v>2.75</v>
      </c>
      <c r="I22" s="8" t="s">
        <v>56</v>
      </c>
      <c r="J22" s="5" t="s">
        <v>173</v>
      </c>
    </row>
    <row r="23" spans="1:10" ht="87.5" x14ac:dyDescent="0.25">
      <c r="A23" s="46"/>
      <c r="B23" s="43"/>
      <c r="C23" s="49"/>
      <c r="D23" s="98"/>
      <c r="E23" s="7" t="s">
        <v>118</v>
      </c>
      <c r="F23" s="56" t="s">
        <v>89</v>
      </c>
      <c r="G23" s="4" t="s">
        <v>17</v>
      </c>
      <c r="H23" s="9">
        <v>1</v>
      </c>
      <c r="I23" s="8" t="s">
        <v>56</v>
      </c>
      <c r="J23" s="6" t="s">
        <v>158</v>
      </c>
    </row>
    <row r="24" spans="1:10" ht="18.5" customHeight="1" x14ac:dyDescent="0.25">
      <c r="A24" s="99" t="s">
        <v>78</v>
      </c>
      <c r="B24" s="99"/>
      <c r="C24" s="48"/>
      <c r="D24" s="28"/>
      <c r="E24" s="52" t="s">
        <v>77</v>
      </c>
      <c r="F24" s="56" t="s">
        <v>89</v>
      </c>
      <c r="G24" s="4" t="s">
        <v>119</v>
      </c>
      <c r="H24" s="9">
        <v>0.75</v>
      </c>
      <c r="I24" s="8" t="s">
        <v>56</v>
      </c>
      <c r="J24" s="6" t="s">
        <v>126</v>
      </c>
    </row>
    <row r="25" spans="1:10" ht="23.5" customHeight="1" x14ac:dyDescent="0.25">
      <c r="A25" s="100"/>
      <c r="B25" s="100"/>
      <c r="C25" s="43" t="s">
        <v>136</v>
      </c>
      <c r="D25" s="28" t="s">
        <v>79</v>
      </c>
      <c r="E25" s="7" t="s">
        <v>79</v>
      </c>
      <c r="F25" s="56" t="s">
        <v>89</v>
      </c>
      <c r="G25" s="4" t="s">
        <v>19</v>
      </c>
      <c r="H25" s="9">
        <v>4</v>
      </c>
      <c r="I25" s="8" t="s">
        <v>56</v>
      </c>
      <c r="J25" s="6" t="s">
        <v>137</v>
      </c>
    </row>
    <row r="26" spans="1:10" ht="23.5" customHeight="1" x14ac:dyDescent="0.25">
      <c r="A26" s="100"/>
      <c r="B26" s="100"/>
      <c r="C26" s="43"/>
      <c r="D26" s="3" t="s">
        <v>66</v>
      </c>
      <c r="E26" s="6" t="s">
        <v>65</v>
      </c>
      <c r="F26" s="56" t="s">
        <v>89</v>
      </c>
      <c r="G26" s="4" t="s">
        <v>42</v>
      </c>
      <c r="H26" s="8">
        <v>0.75</v>
      </c>
      <c r="I26" s="8" t="s">
        <v>57</v>
      </c>
      <c r="J26" s="6" t="s">
        <v>172</v>
      </c>
    </row>
    <row r="27" spans="1:10" ht="27" customHeight="1" x14ac:dyDescent="0.25">
      <c r="A27" s="101"/>
      <c r="B27" s="101"/>
      <c r="C27" s="44"/>
      <c r="D27" s="3" t="s">
        <v>66</v>
      </c>
      <c r="E27" s="7" t="s">
        <v>67</v>
      </c>
      <c r="F27" s="56" t="s">
        <v>89</v>
      </c>
      <c r="G27" s="4" t="s">
        <v>42</v>
      </c>
      <c r="H27" s="9">
        <v>2.5</v>
      </c>
      <c r="I27" s="8" t="s">
        <v>56</v>
      </c>
      <c r="J27" s="6" t="s">
        <v>171</v>
      </c>
    </row>
    <row r="29" spans="1:10" ht="15.5" customHeight="1" x14ac:dyDescent="0.3">
      <c r="F29" s="102" t="s">
        <v>16</v>
      </c>
      <c r="G29" s="102"/>
      <c r="H29" s="18">
        <f t="shared" ref="H29:H34" si="0">SUMIF(G$3:G$27,F29,H$3:H$27)</f>
        <v>9.5</v>
      </c>
      <c r="I29" s="19">
        <f t="shared" ref="I29:I34" si="1">H29/$H$35</f>
        <v>0.296875</v>
      </c>
    </row>
    <row r="30" spans="1:10" ht="15.5" customHeight="1" x14ac:dyDescent="0.3">
      <c r="F30" s="102" t="s">
        <v>17</v>
      </c>
      <c r="G30" s="102"/>
      <c r="H30" s="18">
        <f t="shared" si="0"/>
        <v>10</v>
      </c>
      <c r="I30" s="19">
        <f t="shared" si="1"/>
        <v>0.3125</v>
      </c>
    </row>
    <row r="31" spans="1:10" ht="15.5" customHeight="1" x14ac:dyDescent="0.3">
      <c r="F31" s="102" t="s">
        <v>19</v>
      </c>
      <c r="G31" s="102"/>
      <c r="H31" s="18">
        <f t="shared" si="0"/>
        <v>6.75</v>
      </c>
      <c r="I31" s="19">
        <f t="shared" si="1"/>
        <v>0.2109375</v>
      </c>
    </row>
    <row r="32" spans="1:10" ht="15.5" customHeight="1" x14ac:dyDescent="0.3">
      <c r="F32" s="102" t="s">
        <v>18</v>
      </c>
      <c r="G32" s="102"/>
      <c r="H32" s="18">
        <f t="shared" si="0"/>
        <v>1</v>
      </c>
      <c r="I32" s="19">
        <f t="shared" si="1"/>
        <v>3.125E-2</v>
      </c>
    </row>
    <row r="33" spans="6:9" ht="15.5" customHeight="1" x14ac:dyDescent="0.3">
      <c r="F33" s="102" t="s">
        <v>119</v>
      </c>
      <c r="G33" s="102"/>
      <c r="H33" s="18">
        <f t="shared" si="0"/>
        <v>1.5</v>
      </c>
      <c r="I33" s="19">
        <f t="shared" si="1"/>
        <v>4.6875E-2</v>
      </c>
    </row>
    <row r="34" spans="6:9" ht="15.5" customHeight="1" x14ac:dyDescent="0.3">
      <c r="F34" s="102" t="s">
        <v>42</v>
      </c>
      <c r="G34" s="102"/>
      <c r="H34" s="18">
        <f t="shared" si="0"/>
        <v>3.25</v>
      </c>
      <c r="I34" s="19">
        <f t="shared" si="1"/>
        <v>0.1015625</v>
      </c>
    </row>
    <row r="35" spans="6:9" ht="15.5" customHeight="1" x14ac:dyDescent="0.3">
      <c r="F35" s="102" t="s">
        <v>41</v>
      </c>
      <c r="G35" s="102"/>
      <c r="H35" s="20">
        <f>SUM(H29:H34)</f>
        <v>32</v>
      </c>
      <c r="I35" s="21">
        <f>SUM(I29:I34)</f>
        <v>1</v>
      </c>
    </row>
  </sheetData>
  <dataConsolidate/>
  <mergeCells count="11">
    <mergeCell ref="F35:G35"/>
    <mergeCell ref="F30:G30"/>
    <mergeCell ref="F31:G31"/>
    <mergeCell ref="F32:G32"/>
    <mergeCell ref="F33:G33"/>
    <mergeCell ref="F34:G34"/>
    <mergeCell ref="A1:J1"/>
    <mergeCell ref="A2:B2"/>
    <mergeCell ref="D20:D23"/>
    <mergeCell ref="A24:B27"/>
    <mergeCell ref="F29:G29"/>
  </mergeCells>
  <dataValidations count="2">
    <dataValidation type="list" allowBlank="1" showInputMessage="1" showErrorMessage="1" sqref="I3:I27">
      <formula1>"Online, Offline"</formula1>
    </dataValidation>
    <dataValidation type="list" allowBlank="1" showErrorMessage="1" sqref="G3:G27">
      <formula1>"Concept/Lecture, Assignment/Lab, Test/Quiz, Exam, Guides/Review, Seminar/Workshop, Class Meeting"</formula1>
    </dataValidation>
  </dataValidations>
  <pageMargins left="0.44" right="0.70866141732283505" top="0.47" bottom="0.55000000000000004" header="0.31496062992126" footer="0.31496062992126"/>
  <pageSetup paperSize="9" fitToHeight="2" orientation="landscape" r:id="rId1"/>
  <headerFooter>
    <oddFooter>&amp;L18e-BM/DT/FSOFT v1/1&amp;CInternal use&amp;R&amp;P/&amp;N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JWEB_Syllabus!$D$9:$D$10</xm:f>
          </x14:formula1>
          <xm:sqref>F3:F27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8"/>
  <sheetViews>
    <sheetView view="pageBreakPreview" zoomScale="85" zoomScaleNormal="100" zoomScaleSheetLayoutView="85" workbookViewId="0">
      <selection activeCell="G16" sqref="G16"/>
    </sheetView>
  </sheetViews>
  <sheetFormatPr defaultColWidth="9.1796875" defaultRowHeight="12.5" x14ac:dyDescent="0.25"/>
  <cols>
    <col min="1" max="1" width="3.1796875" style="23" customWidth="1"/>
    <col min="2" max="2" width="14.453125" style="23" customWidth="1"/>
    <col min="3" max="3" width="17.1796875" style="23" customWidth="1"/>
    <col min="4" max="4" width="10.36328125" style="23" customWidth="1"/>
    <col min="5" max="5" width="33.453125" style="23" customWidth="1"/>
    <col min="6" max="6" width="16" style="23" customWidth="1"/>
    <col min="7" max="16384" width="9.1796875" style="23"/>
  </cols>
  <sheetData>
    <row r="1" spans="1:6" s="22" customFormat="1" ht="20.25" customHeight="1" x14ac:dyDescent="0.25">
      <c r="A1" s="103" t="s">
        <v>36</v>
      </c>
      <c r="B1" s="103"/>
      <c r="C1" s="103"/>
      <c r="D1" s="103"/>
      <c r="E1" s="103"/>
      <c r="F1" s="103"/>
    </row>
    <row r="2" spans="1:6" ht="13" x14ac:dyDescent="0.25">
      <c r="B2" s="14" t="s">
        <v>37</v>
      </c>
      <c r="C2" s="14" t="s">
        <v>27</v>
      </c>
      <c r="D2" s="14" t="s">
        <v>58</v>
      </c>
      <c r="E2" s="14" t="s">
        <v>0</v>
      </c>
      <c r="F2" s="14" t="s">
        <v>1</v>
      </c>
    </row>
    <row r="3" spans="1:6" ht="13" x14ac:dyDescent="0.25">
      <c r="B3" s="24" t="s">
        <v>47</v>
      </c>
      <c r="C3" s="12" t="s">
        <v>69</v>
      </c>
      <c r="D3" s="12" t="s">
        <v>68</v>
      </c>
      <c r="E3" s="12" t="s">
        <v>170</v>
      </c>
      <c r="F3" s="12"/>
    </row>
    <row r="4" spans="1:6" ht="13" x14ac:dyDescent="0.25">
      <c r="B4" s="25" t="s">
        <v>48</v>
      </c>
      <c r="C4" s="12" t="s">
        <v>166</v>
      </c>
      <c r="D4" s="12" t="s">
        <v>167</v>
      </c>
      <c r="E4" s="12" t="s">
        <v>170</v>
      </c>
      <c r="F4" s="12"/>
    </row>
    <row r="5" spans="1:6" ht="13" x14ac:dyDescent="0.25">
      <c r="B5" s="25" t="s">
        <v>49</v>
      </c>
      <c r="C5" s="12" t="s">
        <v>168</v>
      </c>
      <c r="D5" s="12" t="s">
        <v>169</v>
      </c>
      <c r="E5" s="12" t="s">
        <v>170</v>
      </c>
      <c r="F5" s="12"/>
    </row>
    <row r="6" spans="1:6" s="22" customFormat="1" ht="20.25" customHeight="1" x14ac:dyDescent="0.25">
      <c r="A6" s="103" t="s">
        <v>3</v>
      </c>
      <c r="B6" s="103"/>
      <c r="C6" s="103"/>
      <c r="D6" s="103"/>
      <c r="E6" s="103"/>
      <c r="F6" s="103"/>
    </row>
    <row r="7" spans="1:6" x14ac:dyDescent="0.25">
      <c r="A7" s="23" t="s">
        <v>4</v>
      </c>
    </row>
    <row r="9" spans="1:6" ht="26" x14ac:dyDescent="0.25">
      <c r="B9" s="14" t="s">
        <v>5</v>
      </c>
      <c r="C9" s="14" t="s">
        <v>6</v>
      </c>
      <c r="D9" s="14" t="s">
        <v>9</v>
      </c>
      <c r="E9" s="14" t="s">
        <v>7</v>
      </c>
      <c r="F9" s="14" t="s">
        <v>8</v>
      </c>
    </row>
    <row r="10" spans="1:6" ht="25" x14ac:dyDescent="0.25">
      <c r="B10" s="60">
        <v>42644</v>
      </c>
      <c r="C10" s="13" t="s">
        <v>71</v>
      </c>
      <c r="D10" s="54" t="s">
        <v>72</v>
      </c>
      <c r="E10" s="13" t="s">
        <v>76</v>
      </c>
      <c r="F10" s="53">
        <v>3.1</v>
      </c>
    </row>
    <row r="11" spans="1:6" ht="25" x14ac:dyDescent="0.25">
      <c r="B11" s="60">
        <v>42644</v>
      </c>
      <c r="C11" s="13" t="s">
        <v>53</v>
      </c>
      <c r="D11" s="54" t="s">
        <v>73</v>
      </c>
      <c r="E11" s="13" t="s">
        <v>75</v>
      </c>
      <c r="F11" s="53">
        <v>3.1</v>
      </c>
    </row>
    <row r="12" spans="1:6" ht="25" x14ac:dyDescent="0.25">
      <c r="B12" s="60">
        <v>42644</v>
      </c>
      <c r="C12" s="13" t="s">
        <v>42</v>
      </c>
      <c r="D12" s="54" t="s">
        <v>73</v>
      </c>
      <c r="E12" s="13" t="s">
        <v>74</v>
      </c>
      <c r="F12" s="53">
        <v>3.1</v>
      </c>
    </row>
    <row r="13" spans="1:6" ht="37.5" x14ac:dyDescent="0.25">
      <c r="B13" s="60">
        <v>43466</v>
      </c>
      <c r="C13" s="13" t="s">
        <v>101</v>
      </c>
      <c r="D13" s="54" t="s">
        <v>72</v>
      </c>
      <c r="E13" s="13" t="s">
        <v>156</v>
      </c>
      <c r="F13" s="54">
        <v>3.2</v>
      </c>
    </row>
    <row r="14" spans="1:6" x14ac:dyDescent="0.25">
      <c r="B14" s="60">
        <v>43605</v>
      </c>
      <c r="C14" s="13" t="s">
        <v>147</v>
      </c>
      <c r="D14" s="61" t="s">
        <v>72</v>
      </c>
      <c r="E14" s="13" t="s">
        <v>101</v>
      </c>
      <c r="F14" s="62" t="s">
        <v>148</v>
      </c>
    </row>
    <row r="15" spans="1:6" x14ac:dyDescent="0.25">
      <c r="B15" s="60">
        <v>43641</v>
      </c>
      <c r="C15" s="13" t="s">
        <v>101</v>
      </c>
      <c r="D15" s="61" t="s">
        <v>72</v>
      </c>
      <c r="E15" s="13" t="s">
        <v>149</v>
      </c>
      <c r="F15" s="62" t="s">
        <v>150</v>
      </c>
    </row>
    <row r="16" spans="1:6" ht="37.5" x14ac:dyDescent="0.25">
      <c r="B16" s="60">
        <v>43646</v>
      </c>
      <c r="C16" s="13" t="s">
        <v>151</v>
      </c>
      <c r="D16" s="61" t="s">
        <v>72</v>
      </c>
      <c r="E16" s="13" t="s">
        <v>157</v>
      </c>
      <c r="F16" s="62">
        <v>3.8</v>
      </c>
    </row>
    <row r="17" spans="2:6" x14ac:dyDescent="0.25">
      <c r="B17" s="60">
        <v>43652</v>
      </c>
      <c r="C17" s="13" t="s">
        <v>101</v>
      </c>
      <c r="D17" s="54" t="s">
        <v>72</v>
      </c>
      <c r="E17" s="13" t="s">
        <v>152</v>
      </c>
      <c r="F17" s="62" t="s">
        <v>153</v>
      </c>
    </row>
    <row r="18" spans="2:6" x14ac:dyDescent="0.25">
      <c r="B18" s="60">
        <v>43656</v>
      </c>
      <c r="C18" s="13" t="s">
        <v>154</v>
      </c>
      <c r="D18" s="54" t="s">
        <v>72</v>
      </c>
      <c r="E18" s="13" t="s">
        <v>154</v>
      </c>
      <c r="F18" s="62" t="s">
        <v>155</v>
      </c>
    </row>
  </sheetData>
  <mergeCells count="2">
    <mergeCell ref="A1:F1"/>
    <mergeCell ref="A6:F6"/>
  </mergeCells>
  <phoneticPr fontId="4" type="noConversion"/>
  <pageMargins left="0.7" right="0.41" top="0.75" bottom="0.75" header="0.3" footer="0.3"/>
  <pageSetup paperSize="9" scale="96" orientation="portrait" r:id="rId1"/>
  <headerFooter>
    <oddFooter>&amp;L18e-BM/DT/FSOFT v1/1&amp;CInternal use&amp;R&amp;P/&amp;N</oddFooter>
  </headerFooter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5"/>
  <sheetViews>
    <sheetView workbookViewId="0">
      <selection activeCell="AL4" sqref="AL4"/>
    </sheetView>
  </sheetViews>
  <sheetFormatPr defaultRowHeight="12.5" x14ac:dyDescent="0.25"/>
  <sheetData>
    <row r="1" spans="1:256" x14ac:dyDescent="0.25">
      <c r="A1" t="e">
        <f>IF(JWEB_Syllabus!1:1,"AAAAAH7b/wA=",0)</f>
        <v>#VALUE!</v>
      </c>
      <c r="B1" t="e">
        <f>AND(JWEB_Syllabus!#REF!,"AAAAAH7b/wE=")</f>
        <v>#REF!</v>
      </c>
      <c r="C1" t="e">
        <f>AND(JWEB_Syllabus!B1,"AAAAAH7b/wI=")</f>
        <v>#VALUE!</v>
      </c>
      <c r="D1" t="e">
        <f>AND(JWEB_Syllabus!C1,"AAAAAH7b/wM=")</f>
        <v>#VALUE!</v>
      </c>
      <c r="E1" t="e">
        <f>AND(JWEB_Syllabus!D1,"AAAAAH7b/wQ=")</f>
        <v>#VALUE!</v>
      </c>
      <c r="F1" t="e">
        <f>AND(JWEB_Syllabus!E1,"AAAAAH7b/wU=")</f>
        <v>#VALUE!</v>
      </c>
      <c r="G1" t="e">
        <f>AND(JWEB_Syllabus!F1,"AAAAAH7b/wY=")</f>
        <v>#VALUE!</v>
      </c>
      <c r="H1" t="e">
        <f>AND(JWEB_Syllabus!G1,"AAAAAH7b/wc=")</f>
        <v>#VALUE!</v>
      </c>
      <c r="I1" t="e">
        <f>IF(JWEB_Syllabus!#REF!,"AAAAAH7b/wg=",0)</f>
        <v>#REF!</v>
      </c>
      <c r="J1" t="e">
        <f>AND(JWEB_Syllabus!#REF!,"AAAAAH7b/wk=")</f>
        <v>#REF!</v>
      </c>
      <c r="K1" t="e">
        <f>AND(JWEB_Syllabus!#REF!,"AAAAAH7b/wo=")</f>
        <v>#REF!</v>
      </c>
      <c r="L1" t="e">
        <f>AND(JWEB_Syllabus!#REF!,"AAAAAH7b/ws=")</f>
        <v>#REF!</v>
      </c>
      <c r="M1" t="e">
        <f>AND(JWEB_Syllabus!#REF!,"AAAAAH7b/ww=")</f>
        <v>#REF!</v>
      </c>
      <c r="N1" t="e">
        <f>AND(JWEB_Syllabus!#REF!,"AAAAAH7b/w0=")</f>
        <v>#REF!</v>
      </c>
      <c r="O1" t="e">
        <f>AND(JWEB_Syllabus!#REF!,"AAAAAH7b/w4=")</f>
        <v>#REF!</v>
      </c>
      <c r="P1" t="e">
        <f>AND(JWEB_Syllabus!#REF!,"AAAAAH7b/w8=")</f>
        <v>#REF!</v>
      </c>
      <c r="Q1">
        <f>IF(JWEB_Syllabus!3:3,"AAAAAH7b/xA=",0)</f>
        <v>0</v>
      </c>
      <c r="R1" t="e">
        <f>AND(JWEB_Syllabus!A3,"AAAAAH7b/xE=")</f>
        <v>#VALUE!</v>
      </c>
      <c r="S1" t="e">
        <f>AND(JWEB_Syllabus!B3,"AAAAAH7b/xI=")</f>
        <v>#VALUE!</v>
      </c>
      <c r="T1" t="e">
        <f>AND(JWEB_Syllabus!C3,"AAAAAH7b/xM=")</f>
        <v>#VALUE!</v>
      </c>
      <c r="U1" t="e">
        <f>AND(JWEB_Syllabus!D3,"AAAAAH7b/xQ=")</f>
        <v>#VALUE!</v>
      </c>
      <c r="V1" t="e">
        <f>AND(JWEB_Syllabus!E3,"AAAAAH7b/xU=")</f>
        <v>#VALUE!</v>
      </c>
      <c r="W1" t="e">
        <f>AND(JWEB_Syllabus!F3,"AAAAAH7b/xY=")</f>
        <v>#VALUE!</v>
      </c>
      <c r="X1" t="e">
        <f>AND(JWEB_Syllabus!G3,"AAAAAH7b/xc=")</f>
        <v>#VALUE!</v>
      </c>
      <c r="Y1">
        <f>IF(JWEB_Syllabus!4:4,"AAAAAH7b/xg=",0)</f>
        <v>0</v>
      </c>
      <c r="Z1" t="e">
        <f>AND(JWEB_Syllabus!A4,"AAAAAH7b/xk=")</f>
        <v>#VALUE!</v>
      </c>
      <c r="AA1" t="e">
        <f>AND(JWEB_Syllabus!B4,"AAAAAH7b/xo=")</f>
        <v>#VALUE!</v>
      </c>
      <c r="AB1" t="e">
        <f>AND(JWEB_Syllabus!C4,"AAAAAH7b/xs=")</f>
        <v>#VALUE!</v>
      </c>
      <c r="AC1" t="e">
        <f>AND(JWEB_Syllabus!D4,"AAAAAH7b/xw=")</f>
        <v>#VALUE!</v>
      </c>
      <c r="AD1" t="e">
        <f>AND(JWEB_Syllabus!E4,"AAAAAH7b/x0=")</f>
        <v>#VALUE!</v>
      </c>
      <c r="AE1" t="e">
        <f>AND(JWEB_Syllabus!F4,"AAAAAH7b/x4=")</f>
        <v>#VALUE!</v>
      </c>
      <c r="AF1" t="e">
        <f>AND(JWEB_Syllabus!G4,"AAAAAH7b/x8=")</f>
        <v>#VALUE!</v>
      </c>
      <c r="AG1">
        <f>IF(JWEB_Syllabus!5:5,"AAAAAH7b/yA=",0)</f>
        <v>0</v>
      </c>
      <c r="AH1" t="e">
        <f>AND(JWEB_Syllabus!A5,"AAAAAH7b/yE=")</f>
        <v>#VALUE!</v>
      </c>
      <c r="AI1" t="e">
        <f>AND(JWEB_Syllabus!B5,"AAAAAH7b/yI=")</f>
        <v>#VALUE!</v>
      </c>
      <c r="AJ1" t="e">
        <f>AND(JWEB_Syllabus!C5,"AAAAAH7b/yM=")</f>
        <v>#VALUE!</v>
      </c>
      <c r="AK1" t="e">
        <f>AND(JWEB_Syllabus!D5,"AAAAAH7b/yQ=")</f>
        <v>#VALUE!</v>
      </c>
      <c r="AL1" t="e">
        <f>AND(JWEB_Syllabus!E5,"AAAAAH7b/yU=")</f>
        <v>#VALUE!</v>
      </c>
      <c r="AM1" t="e">
        <f>AND(JWEB_Syllabus!F5,"AAAAAH7b/yY=")</f>
        <v>#VALUE!</v>
      </c>
      <c r="AN1" t="e">
        <f>AND(JWEB_Syllabus!G5,"AAAAAH7b/yc=")</f>
        <v>#VALUE!</v>
      </c>
      <c r="AO1">
        <f>IF(JWEB_Syllabus!6:6,"AAAAAH7b/yg=",0)</f>
        <v>0</v>
      </c>
      <c r="AP1" t="e">
        <f>AND(JWEB_Syllabus!A6,"AAAAAH7b/yk=")</f>
        <v>#VALUE!</v>
      </c>
      <c r="AQ1" t="e">
        <f>AND(JWEB_Syllabus!B6,"AAAAAH7b/yo=")</f>
        <v>#VALUE!</v>
      </c>
      <c r="AR1" t="e">
        <f>AND(JWEB_Syllabus!C6,"AAAAAH7b/ys=")</f>
        <v>#VALUE!</v>
      </c>
      <c r="AS1" t="e">
        <f>AND(JWEB_Syllabus!D6,"AAAAAH7b/yw=")</f>
        <v>#VALUE!</v>
      </c>
      <c r="AT1" t="e">
        <f>AND(JWEB_Syllabus!E6,"AAAAAH7b/y0=")</f>
        <v>#VALUE!</v>
      </c>
      <c r="AU1" t="e">
        <f>AND(JWEB_Syllabus!F6,"AAAAAH7b/y4=")</f>
        <v>#VALUE!</v>
      </c>
      <c r="AV1" t="e">
        <f>AND(JWEB_Syllabus!G6,"AAAAAH7b/y8=")</f>
        <v>#VALUE!</v>
      </c>
      <c r="AW1">
        <f>IF(JWEB_Syllabus!7:7,"AAAAAH7b/zA=",0)</f>
        <v>0</v>
      </c>
      <c r="AX1" t="e">
        <f>AND(JWEB_Syllabus!A7,"AAAAAH7b/zE=")</f>
        <v>#VALUE!</v>
      </c>
      <c r="AY1" t="e">
        <f>AND(JWEB_Syllabus!B7,"AAAAAH7b/zI=")</f>
        <v>#VALUE!</v>
      </c>
      <c r="AZ1" t="e">
        <f>AND(JWEB_Syllabus!C7,"AAAAAH7b/zM=")</f>
        <v>#VALUE!</v>
      </c>
      <c r="BA1" t="e">
        <f>AND(JWEB_Syllabus!D7,"AAAAAH7b/zQ=")</f>
        <v>#VALUE!</v>
      </c>
      <c r="BB1" t="e">
        <f>AND(JWEB_Syllabus!E7,"AAAAAH7b/zU=")</f>
        <v>#VALUE!</v>
      </c>
      <c r="BC1" t="e">
        <f>AND(JWEB_Syllabus!F7,"AAAAAH7b/zY=")</f>
        <v>#VALUE!</v>
      </c>
      <c r="BD1" t="e">
        <f>AND(JWEB_Syllabus!G7,"AAAAAH7b/zc=")</f>
        <v>#VALUE!</v>
      </c>
      <c r="BE1">
        <f>IF(JWEB_Syllabus!8:8,"AAAAAH7b/zg=",0)</f>
        <v>0</v>
      </c>
      <c r="BF1" t="e">
        <f>AND(JWEB_Syllabus!A8,"AAAAAH7b/zk=")</f>
        <v>#VALUE!</v>
      </c>
      <c r="BG1" t="e">
        <f>AND(JWEB_Syllabus!B8,"AAAAAH7b/zo=")</f>
        <v>#VALUE!</v>
      </c>
      <c r="BH1" t="e">
        <f>AND(JWEB_Syllabus!C8,"AAAAAH7b/zs=")</f>
        <v>#VALUE!</v>
      </c>
      <c r="BI1" t="e">
        <f>AND(JWEB_Syllabus!D8,"AAAAAH7b/zw=")</f>
        <v>#VALUE!</v>
      </c>
      <c r="BJ1" t="e">
        <f>AND(JWEB_Syllabus!E8,"AAAAAH7b/z0=")</f>
        <v>#VALUE!</v>
      </c>
      <c r="BK1" t="e">
        <f>AND(JWEB_Syllabus!F8,"AAAAAH7b/z4=")</f>
        <v>#VALUE!</v>
      </c>
      <c r="BL1" t="e">
        <f>AND(JWEB_Syllabus!G8,"AAAAAH7b/z8=")</f>
        <v>#VALUE!</v>
      </c>
      <c r="BM1">
        <f>IF(JWEB_Syllabus!9:9,"AAAAAH7b/0A=",0)</f>
        <v>0</v>
      </c>
      <c r="BN1" t="e">
        <f>AND(JWEB_Syllabus!A9,"AAAAAH7b/0E=")</f>
        <v>#VALUE!</v>
      </c>
      <c r="BO1" t="e">
        <f>AND(JWEB_Syllabus!B9,"AAAAAH7b/0I=")</f>
        <v>#VALUE!</v>
      </c>
      <c r="BP1" t="e">
        <f>AND(JWEB_Syllabus!C9,"AAAAAH7b/0M=")</f>
        <v>#VALUE!</v>
      </c>
      <c r="BQ1" t="e">
        <f>AND(JWEB_Syllabus!D9,"AAAAAH7b/0Q=")</f>
        <v>#VALUE!</v>
      </c>
      <c r="BR1" t="e">
        <f>AND(JWEB_Syllabus!E9,"AAAAAH7b/0U=")</f>
        <v>#VALUE!</v>
      </c>
      <c r="BS1" t="e">
        <f>AND(JWEB_Syllabus!F9,"AAAAAH7b/0Y=")</f>
        <v>#VALUE!</v>
      </c>
      <c r="BT1" t="e">
        <f>AND(JWEB_Syllabus!G9,"AAAAAH7b/0c=")</f>
        <v>#VALUE!</v>
      </c>
      <c r="BU1" t="e">
        <f>IF(JWEB_Syllabus!#REF!,"AAAAAH7b/0g=",0)</f>
        <v>#REF!</v>
      </c>
      <c r="BV1" t="e">
        <f>AND(JWEB_Syllabus!#REF!,"AAAAAH7b/0k=")</f>
        <v>#REF!</v>
      </c>
      <c r="BW1" t="e">
        <f>AND(JWEB_Syllabus!#REF!,"AAAAAH7b/0o=")</f>
        <v>#REF!</v>
      </c>
      <c r="BX1" t="e">
        <f>AND(JWEB_Syllabus!#REF!,"AAAAAH7b/0s=")</f>
        <v>#REF!</v>
      </c>
      <c r="BY1" t="e">
        <f>AND(JWEB_Syllabus!#REF!,"AAAAAH7b/0w=")</f>
        <v>#REF!</v>
      </c>
      <c r="BZ1" t="e">
        <f>AND(JWEB_Syllabus!#REF!,"AAAAAH7b/00=")</f>
        <v>#REF!</v>
      </c>
      <c r="CA1" t="e">
        <f>AND(JWEB_Syllabus!#REF!,"AAAAAH7b/04=")</f>
        <v>#REF!</v>
      </c>
      <c r="CB1" t="e">
        <f>AND(JWEB_Syllabus!#REF!,"AAAAAH7b/08=")</f>
        <v>#REF!</v>
      </c>
      <c r="CC1">
        <f>IF(JWEB_Syllabus!11:11,"AAAAAH7b/1A=",0)</f>
        <v>0</v>
      </c>
      <c r="CD1" t="e">
        <f>AND(JWEB_Syllabus!A11,"AAAAAH7b/1E=")</f>
        <v>#VALUE!</v>
      </c>
      <c r="CE1" t="e">
        <f>AND(JWEB_Syllabus!B11,"AAAAAH7b/1I=")</f>
        <v>#VALUE!</v>
      </c>
      <c r="CF1" t="e">
        <f>AND(JWEB_Syllabus!C11,"AAAAAH7b/1M=")</f>
        <v>#VALUE!</v>
      </c>
      <c r="CG1" t="e">
        <f>AND(JWEB_Syllabus!D11,"AAAAAH7b/1Q=")</f>
        <v>#VALUE!</v>
      </c>
      <c r="CH1" t="e">
        <f>AND(JWEB_Syllabus!E11,"AAAAAH7b/1U=")</f>
        <v>#VALUE!</v>
      </c>
      <c r="CI1" t="e">
        <f>AND(JWEB_Syllabus!F11,"AAAAAH7b/1Y=")</f>
        <v>#VALUE!</v>
      </c>
      <c r="CJ1" t="e">
        <f>AND(JWEB_Syllabus!G11,"AAAAAH7b/1c=")</f>
        <v>#VALUE!</v>
      </c>
      <c r="CK1">
        <f>IF(JWEB_Syllabus!12:12,"AAAAAH7b/1g=",0)</f>
        <v>0</v>
      </c>
      <c r="CL1" t="e">
        <f>AND(JWEB_Syllabus!A12,"AAAAAH7b/1k=")</f>
        <v>#VALUE!</v>
      </c>
      <c r="CM1" t="e">
        <f>AND(JWEB_Syllabus!B12,"AAAAAH7b/1o=")</f>
        <v>#VALUE!</v>
      </c>
      <c r="CN1" t="e">
        <f>AND(JWEB_Syllabus!C12,"AAAAAH7b/1s=")</f>
        <v>#VALUE!</v>
      </c>
      <c r="CO1" t="e">
        <f>AND(JWEB_Syllabus!D12,"AAAAAH7b/1w=")</f>
        <v>#VALUE!</v>
      </c>
      <c r="CP1" t="e">
        <f>AND(JWEB_Syllabus!E12,"AAAAAH7b/10=")</f>
        <v>#VALUE!</v>
      </c>
      <c r="CQ1" t="e">
        <f>AND(JWEB_Syllabus!F12,"AAAAAH7b/14=")</f>
        <v>#VALUE!</v>
      </c>
      <c r="CR1" t="e">
        <f>AND(JWEB_Syllabus!G12,"AAAAAH7b/18=")</f>
        <v>#VALUE!</v>
      </c>
      <c r="CS1">
        <f>IF(JWEB_Syllabus!13:13,"AAAAAH7b/2A=",0)</f>
        <v>0</v>
      </c>
      <c r="CT1" t="e">
        <f>AND(JWEB_Syllabus!A13,"AAAAAH7b/2E=")</f>
        <v>#VALUE!</v>
      </c>
      <c r="CU1" t="e">
        <f>AND(JWEB_Syllabus!B13,"AAAAAH7b/2I=")</f>
        <v>#VALUE!</v>
      </c>
      <c r="CV1" t="e">
        <f>AND(JWEB_Syllabus!C13,"AAAAAH7b/2M=")</f>
        <v>#VALUE!</v>
      </c>
      <c r="CW1" t="e">
        <f>AND(JWEB_Syllabus!D13,"AAAAAH7b/2Q=")</f>
        <v>#VALUE!</v>
      </c>
      <c r="CX1" t="e">
        <f>AND(JWEB_Syllabus!E13,"AAAAAH7b/2U=")</f>
        <v>#VALUE!</v>
      </c>
      <c r="CY1" t="e">
        <f>AND(JWEB_Syllabus!F13,"AAAAAH7b/2Y=")</f>
        <v>#VALUE!</v>
      </c>
      <c r="CZ1" t="e">
        <f>AND(JWEB_Syllabus!G13,"AAAAAH7b/2c=")</f>
        <v>#VALUE!</v>
      </c>
      <c r="DA1">
        <f>IF(JWEB_Syllabus!14:14,"AAAAAH7b/2g=",0)</f>
        <v>0</v>
      </c>
      <c r="DB1" t="e">
        <f>AND(JWEB_Syllabus!A14,"AAAAAH7b/2k=")</f>
        <v>#VALUE!</v>
      </c>
      <c r="DC1" t="e">
        <f>AND(JWEB_Syllabus!B14,"AAAAAH7b/2o=")</f>
        <v>#VALUE!</v>
      </c>
      <c r="DD1" t="e">
        <f>AND(JWEB_Syllabus!C14,"AAAAAH7b/2s=")</f>
        <v>#VALUE!</v>
      </c>
      <c r="DE1" t="e">
        <f>AND(JWEB_Syllabus!D14,"AAAAAH7b/2w=")</f>
        <v>#VALUE!</v>
      </c>
      <c r="DF1" t="e">
        <f>AND(JWEB_Syllabus!E14,"AAAAAH7b/20=")</f>
        <v>#VALUE!</v>
      </c>
      <c r="DG1" t="e">
        <f>AND(JWEB_Syllabus!F14,"AAAAAH7b/24=")</f>
        <v>#VALUE!</v>
      </c>
      <c r="DH1" t="e">
        <f>AND(JWEB_Syllabus!G14,"AAAAAH7b/28=")</f>
        <v>#VALUE!</v>
      </c>
      <c r="DI1">
        <f>IF(JWEB_Syllabus!15:15,"AAAAAH7b/3A=",0)</f>
        <v>0</v>
      </c>
      <c r="DJ1" t="e">
        <f>AND(JWEB_Syllabus!A15,"AAAAAH7b/3E=")</f>
        <v>#VALUE!</v>
      </c>
      <c r="DK1" t="e">
        <f>AND(JWEB_Syllabus!B15,"AAAAAH7b/3I=")</f>
        <v>#VALUE!</v>
      </c>
      <c r="DL1" t="e">
        <f>AND(JWEB_Syllabus!C15,"AAAAAH7b/3M=")</f>
        <v>#VALUE!</v>
      </c>
      <c r="DM1" t="e">
        <f>AND(JWEB_Syllabus!D15,"AAAAAH7b/3Q=")</f>
        <v>#VALUE!</v>
      </c>
      <c r="DN1" t="e">
        <f>AND(JWEB_Syllabus!E15,"AAAAAH7b/3U=")</f>
        <v>#VALUE!</v>
      </c>
      <c r="DO1" t="e">
        <f>AND(JWEB_Syllabus!F15,"AAAAAH7b/3Y=")</f>
        <v>#VALUE!</v>
      </c>
      <c r="DP1" t="e">
        <f>AND(JWEB_Syllabus!G15,"AAAAAH7b/3c=")</f>
        <v>#VALUE!</v>
      </c>
      <c r="DQ1">
        <f>IF(JWEB_Syllabus!16:16,"AAAAAH7b/3g=",0)</f>
        <v>0</v>
      </c>
      <c r="DR1" t="e">
        <f>AND(JWEB_Syllabus!A16,"AAAAAH7b/3k=")</f>
        <v>#VALUE!</v>
      </c>
      <c r="DS1" t="e">
        <f>AND(JWEB_Syllabus!B16,"AAAAAH7b/3o=")</f>
        <v>#VALUE!</v>
      </c>
      <c r="DT1" t="e">
        <f>AND(JWEB_Syllabus!C16,"AAAAAH7b/3s=")</f>
        <v>#VALUE!</v>
      </c>
      <c r="DU1" t="e">
        <f>AND(JWEB_Syllabus!D16,"AAAAAH7b/3w=")</f>
        <v>#VALUE!</v>
      </c>
      <c r="DV1" t="e">
        <f>AND(JWEB_Syllabus!E16,"AAAAAH7b/30=")</f>
        <v>#VALUE!</v>
      </c>
      <c r="DW1" t="e">
        <f>AND(JWEB_Syllabus!F16,"AAAAAH7b/34=")</f>
        <v>#VALUE!</v>
      </c>
      <c r="DX1" t="e">
        <f>AND(JWEB_Syllabus!G16,"AAAAAH7b/38=")</f>
        <v>#VALUE!</v>
      </c>
      <c r="DY1">
        <f>IF(JWEB_Syllabus!17:17,"AAAAAH7b/4A=",0)</f>
        <v>0</v>
      </c>
      <c r="DZ1" t="e">
        <f>AND(JWEB_Syllabus!A17,"AAAAAH7b/4E=")</f>
        <v>#VALUE!</v>
      </c>
      <c r="EA1" t="e">
        <f>AND(JWEB_Syllabus!B17,"AAAAAH7b/4I=")</f>
        <v>#VALUE!</v>
      </c>
      <c r="EB1" t="e">
        <f>AND(JWEB_Syllabus!C17,"AAAAAH7b/4M=")</f>
        <v>#VALUE!</v>
      </c>
      <c r="EC1" t="e">
        <f>AND(JWEB_Syllabus!D17,"AAAAAH7b/4Q=")</f>
        <v>#VALUE!</v>
      </c>
      <c r="ED1" t="e">
        <f>AND(JWEB_Syllabus!E17,"AAAAAH7b/4U=")</f>
        <v>#VALUE!</v>
      </c>
      <c r="EE1" t="e">
        <f>AND(JWEB_Syllabus!F17,"AAAAAH7b/4Y=")</f>
        <v>#VALUE!</v>
      </c>
      <c r="EF1" t="e">
        <f>AND(JWEB_Syllabus!G17,"AAAAAH7b/4c=")</f>
        <v>#VALUE!</v>
      </c>
      <c r="EG1">
        <f>IF(JWEB_Syllabus!18:18,"AAAAAH7b/4g=",0)</f>
        <v>0</v>
      </c>
      <c r="EH1" t="e">
        <f>AND(JWEB_Syllabus!A18,"AAAAAH7b/4k=")</f>
        <v>#VALUE!</v>
      </c>
      <c r="EI1" t="e">
        <f>AND(JWEB_Syllabus!B18,"AAAAAH7b/4o=")</f>
        <v>#VALUE!</v>
      </c>
      <c r="EJ1" t="e">
        <f>AND(JWEB_Syllabus!C18,"AAAAAH7b/4s=")</f>
        <v>#VALUE!</v>
      </c>
      <c r="EK1" t="e">
        <f>AND(JWEB_Syllabus!D18,"AAAAAH7b/4w=")</f>
        <v>#VALUE!</v>
      </c>
      <c r="EL1" t="e">
        <f>AND(JWEB_Syllabus!E18,"AAAAAH7b/40=")</f>
        <v>#VALUE!</v>
      </c>
      <c r="EM1" t="e">
        <f>AND(JWEB_Syllabus!F18,"AAAAAH7b/44=")</f>
        <v>#VALUE!</v>
      </c>
      <c r="EN1" t="e">
        <f>AND(JWEB_Syllabus!G18,"AAAAAH7b/48=")</f>
        <v>#VALUE!</v>
      </c>
      <c r="EO1">
        <f>IF(JWEB_Syllabus!19:19,"AAAAAH7b/5A=",0)</f>
        <v>0</v>
      </c>
      <c r="EP1" t="e">
        <f>AND(JWEB_Syllabus!A19,"AAAAAH7b/5E=")</f>
        <v>#VALUE!</v>
      </c>
      <c r="EQ1" t="e">
        <f>AND(JWEB_Syllabus!B19,"AAAAAH7b/5I=")</f>
        <v>#VALUE!</v>
      </c>
      <c r="ER1" t="e">
        <f>AND(JWEB_Syllabus!C19,"AAAAAH7b/5M=")</f>
        <v>#VALUE!</v>
      </c>
      <c r="ES1" t="e">
        <f>AND(JWEB_Syllabus!D19,"AAAAAH7b/5Q=")</f>
        <v>#VALUE!</v>
      </c>
      <c r="ET1" t="e">
        <f>AND(JWEB_Syllabus!E19,"AAAAAH7b/5U=")</f>
        <v>#VALUE!</v>
      </c>
      <c r="EU1" t="e">
        <f>AND(JWEB_Syllabus!F19,"AAAAAH7b/5Y=")</f>
        <v>#VALUE!</v>
      </c>
      <c r="EV1" t="e">
        <f>AND(JWEB_Syllabus!G19,"AAAAAH7b/5c=")</f>
        <v>#VALUE!</v>
      </c>
      <c r="EW1">
        <f>IF(JWEB_Syllabus!20:20,"AAAAAH7b/5g=",0)</f>
        <v>0</v>
      </c>
      <c r="EX1" t="e">
        <f>AND(JWEB_Syllabus!A20,"AAAAAH7b/5k=")</f>
        <v>#VALUE!</v>
      </c>
      <c r="EY1" t="e">
        <f>AND(JWEB_Syllabus!B20,"AAAAAH7b/5o=")</f>
        <v>#VALUE!</v>
      </c>
      <c r="EZ1" t="e">
        <f>AND(JWEB_Syllabus!C20,"AAAAAH7b/5s=")</f>
        <v>#VALUE!</v>
      </c>
      <c r="FA1" t="e">
        <f>AND(JWEB_Syllabus!D20,"AAAAAH7b/5w=")</f>
        <v>#VALUE!</v>
      </c>
      <c r="FB1" t="e">
        <f>AND(JWEB_Syllabus!E20,"AAAAAH7b/50=")</f>
        <v>#VALUE!</v>
      </c>
      <c r="FC1" t="e">
        <f>AND(JWEB_Syllabus!F20,"AAAAAH7b/54=")</f>
        <v>#VALUE!</v>
      </c>
      <c r="FD1" t="e">
        <f>AND(JWEB_Syllabus!G20,"AAAAAH7b/58=")</f>
        <v>#VALUE!</v>
      </c>
      <c r="FE1">
        <f>IF(JWEB_Syllabus!21:21,"AAAAAH7b/6A=",0)</f>
        <v>0</v>
      </c>
      <c r="FF1" t="e">
        <f>AND(JWEB_Syllabus!A21,"AAAAAH7b/6E=")</f>
        <v>#VALUE!</v>
      </c>
      <c r="FG1" t="e">
        <f>AND(JWEB_Syllabus!B21,"AAAAAH7b/6I=")</f>
        <v>#VALUE!</v>
      </c>
      <c r="FH1" t="e">
        <f>AND(JWEB_Syllabus!C21,"AAAAAH7b/6M=")</f>
        <v>#VALUE!</v>
      </c>
      <c r="FI1" t="e">
        <f>AND(JWEB_Syllabus!D21,"AAAAAH7b/6Q=")</f>
        <v>#VALUE!</v>
      </c>
      <c r="FJ1" t="e">
        <f>AND(JWEB_Syllabus!E21,"AAAAAH7b/6U=")</f>
        <v>#VALUE!</v>
      </c>
      <c r="FK1" t="e">
        <f>AND(JWEB_Syllabus!F21,"AAAAAH7b/6Y=")</f>
        <v>#VALUE!</v>
      </c>
      <c r="FL1" t="e">
        <f>AND(JWEB_Syllabus!G21,"AAAAAH7b/6c=")</f>
        <v>#VALUE!</v>
      </c>
      <c r="FM1">
        <f>IF(JWEB_Syllabus!22:22,"AAAAAH7b/6g=",0)</f>
        <v>0</v>
      </c>
      <c r="FN1" t="e">
        <f>AND(JWEB_Syllabus!A22,"AAAAAH7b/6k=")</f>
        <v>#VALUE!</v>
      </c>
      <c r="FO1" t="e">
        <f>AND(JWEB_Syllabus!B22,"AAAAAH7b/6o=")</f>
        <v>#VALUE!</v>
      </c>
      <c r="FP1" t="e">
        <f>AND(JWEB_Syllabus!C22,"AAAAAH7b/6s=")</f>
        <v>#VALUE!</v>
      </c>
      <c r="FQ1" t="e">
        <f>AND(JWEB_Syllabus!D22,"AAAAAH7b/6w=")</f>
        <v>#VALUE!</v>
      </c>
      <c r="FR1" t="e">
        <f>AND(JWEB_Syllabus!E22,"AAAAAH7b/60=")</f>
        <v>#VALUE!</v>
      </c>
      <c r="FS1" t="e">
        <f>AND(JWEB_Syllabus!F22,"AAAAAH7b/64=")</f>
        <v>#VALUE!</v>
      </c>
      <c r="FT1" t="e">
        <f>AND(JWEB_Syllabus!G22,"AAAAAH7b/68=")</f>
        <v>#VALUE!</v>
      </c>
      <c r="FU1">
        <f>IF(JWEB_Syllabus!23:23,"AAAAAH7b/7A=",0)</f>
        <v>0</v>
      </c>
      <c r="FV1" t="e">
        <f>AND(JWEB_Syllabus!A23,"AAAAAH7b/7E=")</f>
        <v>#VALUE!</v>
      </c>
      <c r="FW1" t="e">
        <f>AND(JWEB_Syllabus!B23,"AAAAAH7b/7I=")</f>
        <v>#VALUE!</v>
      </c>
      <c r="FX1" t="e">
        <f>AND(JWEB_Syllabus!C23,"AAAAAH7b/7M=")</f>
        <v>#VALUE!</v>
      </c>
      <c r="FY1" t="e">
        <f>AND(JWEB_Syllabus!D23,"AAAAAH7b/7Q=")</f>
        <v>#VALUE!</v>
      </c>
      <c r="FZ1" t="e">
        <f>AND(JWEB_Syllabus!E23,"AAAAAH7b/7U=")</f>
        <v>#VALUE!</v>
      </c>
      <c r="GA1" t="e">
        <f>AND(JWEB_Syllabus!F23,"AAAAAH7b/7Y=")</f>
        <v>#VALUE!</v>
      </c>
      <c r="GB1" t="e">
        <f>AND(JWEB_Syllabus!G23,"AAAAAH7b/7c=")</f>
        <v>#VALUE!</v>
      </c>
      <c r="GC1">
        <f>IF(JWEB_Syllabus!24:24,"AAAAAH7b/7g=",0)</f>
        <v>0</v>
      </c>
      <c r="GD1" t="e">
        <f>AND(JWEB_Syllabus!A24,"AAAAAH7b/7k=")</f>
        <v>#VALUE!</v>
      </c>
      <c r="GE1" t="e">
        <f>AND(JWEB_Syllabus!B24,"AAAAAH7b/7o=")</f>
        <v>#VALUE!</v>
      </c>
      <c r="GF1" t="e">
        <f>AND(JWEB_Syllabus!C24,"AAAAAH7b/7s=")</f>
        <v>#VALUE!</v>
      </c>
      <c r="GG1" t="e">
        <f>AND(JWEB_Syllabus!D24,"AAAAAH7b/7w=")</f>
        <v>#VALUE!</v>
      </c>
      <c r="GH1" t="e">
        <f>AND(JWEB_Syllabus!E24,"AAAAAH7b/70=")</f>
        <v>#VALUE!</v>
      </c>
      <c r="GI1" t="e">
        <f>AND(JWEB_Syllabus!F24,"AAAAAH7b/74=")</f>
        <v>#VALUE!</v>
      </c>
      <c r="GJ1" t="e">
        <f>AND(JWEB_Syllabus!G24,"AAAAAH7b/78=")</f>
        <v>#VALUE!</v>
      </c>
      <c r="GK1">
        <f>IF(JWEB_Syllabus!25:25,"AAAAAH7b/8A=",0)</f>
        <v>0</v>
      </c>
      <c r="GL1" t="e">
        <f>AND(JWEB_Syllabus!A25,"AAAAAH7b/8E=")</f>
        <v>#VALUE!</v>
      </c>
      <c r="GM1" t="e">
        <f>AND(JWEB_Syllabus!B25,"AAAAAH7b/8I=")</f>
        <v>#VALUE!</v>
      </c>
      <c r="GN1" t="e">
        <f>AND(JWEB_Syllabus!C25,"AAAAAH7b/8M=")</f>
        <v>#VALUE!</v>
      </c>
      <c r="GO1" t="e">
        <f>AND(JWEB_Syllabus!D25,"AAAAAH7b/8Q=")</f>
        <v>#VALUE!</v>
      </c>
      <c r="GP1" t="e">
        <f>AND(JWEB_Syllabus!E25,"AAAAAH7b/8U=")</f>
        <v>#VALUE!</v>
      </c>
      <c r="GQ1" t="e">
        <f>AND(JWEB_Syllabus!F25,"AAAAAH7b/8Y=")</f>
        <v>#VALUE!</v>
      </c>
      <c r="GR1" t="e">
        <f>AND(JWEB_Syllabus!G25,"AAAAAH7b/8c=")</f>
        <v>#VALUE!</v>
      </c>
      <c r="GS1">
        <f>IF(JWEB_Syllabus!26:26,"AAAAAH7b/8g=",0)</f>
        <v>0</v>
      </c>
      <c r="GT1" t="e">
        <f>AND(JWEB_Syllabus!A26,"AAAAAH7b/8k=")</f>
        <v>#VALUE!</v>
      </c>
      <c r="GU1" t="e">
        <f>AND(JWEB_Syllabus!B26,"AAAAAH7b/8o=")</f>
        <v>#VALUE!</v>
      </c>
      <c r="GV1" t="e">
        <f>AND(JWEB_Syllabus!C26,"AAAAAH7b/8s=")</f>
        <v>#VALUE!</v>
      </c>
      <c r="GW1" t="e">
        <f>AND(JWEB_Syllabus!D26,"AAAAAH7b/8w=")</f>
        <v>#VALUE!</v>
      </c>
      <c r="GX1" t="e">
        <f>AND(JWEB_Syllabus!E26,"AAAAAH7b/80=")</f>
        <v>#VALUE!</v>
      </c>
      <c r="GY1" t="e">
        <f>AND(JWEB_Syllabus!F26,"AAAAAH7b/84=")</f>
        <v>#VALUE!</v>
      </c>
      <c r="GZ1" t="e">
        <f>AND(JWEB_Syllabus!G26,"AAAAAH7b/88=")</f>
        <v>#VALUE!</v>
      </c>
      <c r="HA1">
        <f>IF(JWEB_Syllabus!27:27,"AAAAAH7b/9A=",0)</f>
        <v>0</v>
      </c>
      <c r="HB1" t="e">
        <f>AND(JWEB_Syllabus!A27,"AAAAAH7b/9E=")</f>
        <v>#VALUE!</v>
      </c>
      <c r="HC1" t="e">
        <f>AND(JWEB_Syllabus!B27,"AAAAAH7b/9I=")</f>
        <v>#VALUE!</v>
      </c>
      <c r="HD1" t="e">
        <f>AND(JWEB_Syllabus!C27,"AAAAAH7b/9M=")</f>
        <v>#VALUE!</v>
      </c>
      <c r="HE1" t="e">
        <f>AND(JWEB_Syllabus!D27,"AAAAAH7b/9Q=")</f>
        <v>#VALUE!</v>
      </c>
      <c r="HF1" t="e">
        <f>AND(JWEB_Syllabus!E27,"AAAAAH7b/9U=")</f>
        <v>#VALUE!</v>
      </c>
      <c r="HG1" t="e">
        <f>AND(JWEB_Syllabus!F27,"AAAAAH7b/9Y=")</f>
        <v>#VALUE!</v>
      </c>
      <c r="HH1" t="e">
        <f>AND(JWEB_Syllabus!G27,"AAAAAH7b/9c=")</f>
        <v>#VALUE!</v>
      </c>
      <c r="HI1">
        <f>IF(JWEB_Syllabus!28:28,"AAAAAH7b/9g=",0)</f>
        <v>0</v>
      </c>
      <c r="HJ1" t="e">
        <f>AND(JWEB_Syllabus!A28,"AAAAAH7b/9k=")</f>
        <v>#VALUE!</v>
      </c>
      <c r="HK1" t="e">
        <f>AND(JWEB_Syllabus!B28,"AAAAAH7b/9o=")</f>
        <v>#VALUE!</v>
      </c>
      <c r="HL1" t="e">
        <f>AND(JWEB_Syllabus!C28,"AAAAAH7b/9s=")</f>
        <v>#VALUE!</v>
      </c>
      <c r="HM1" t="e">
        <f>AND(JWEB_Syllabus!D28,"AAAAAH7b/9w=")</f>
        <v>#VALUE!</v>
      </c>
      <c r="HN1" t="e">
        <f>AND(JWEB_Syllabus!E28,"AAAAAH7b/90=")</f>
        <v>#VALUE!</v>
      </c>
      <c r="HO1" t="e">
        <f>AND(JWEB_Syllabus!F28,"AAAAAH7b/94=")</f>
        <v>#VALUE!</v>
      </c>
      <c r="HP1" t="e">
        <f>AND(JWEB_Syllabus!G28,"AAAAAH7b/98=")</f>
        <v>#VALUE!</v>
      </c>
      <c r="HQ1">
        <f>IF(JWEB_Syllabus!29:29,"AAAAAH7b/+A=",0)</f>
        <v>0</v>
      </c>
      <c r="HR1" t="e">
        <f>AND(JWEB_Syllabus!A29,"AAAAAH7b/+E=")</f>
        <v>#VALUE!</v>
      </c>
      <c r="HS1" t="e">
        <f>AND(JWEB_Syllabus!B29,"AAAAAH7b/+I=")</f>
        <v>#VALUE!</v>
      </c>
      <c r="HT1" t="e">
        <f>AND(JWEB_Syllabus!C29,"AAAAAH7b/+M=")</f>
        <v>#VALUE!</v>
      </c>
      <c r="HU1" t="e">
        <f>AND(JWEB_Syllabus!D29,"AAAAAH7b/+Q=")</f>
        <v>#VALUE!</v>
      </c>
      <c r="HV1" t="e">
        <f>AND(JWEB_Syllabus!E29,"AAAAAH7b/+U=")</f>
        <v>#VALUE!</v>
      </c>
      <c r="HW1" t="e">
        <f>AND(JWEB_Syllabus!F29,"AAAAAH7b/+Y=")</f>
        <v>#VALUE!</v>
      </c>
      <c r="HX1" t="e">
        <f>AND(JWEB_Syllabus!G29,"AAAAAH7b/+c=")</f>
        <v>#VALUE!</v>
      </c>
      <c r="HY1">
        <f>IF(JWEB_Syllabus!30:30,"AAAAAH7b/+g=",0)</f>
        <v>0</v>
      </c>
      <c r="HZ1" t="e">
        <f>AND(JWEB_Syllabus!A30,"AAAAAH7b/+k=")</f>
        <v>#VALUE!</v>
      </c>
      <c r="IA1" t="e">
        <f>AND(JWEB_Syllabus!B30,"AAAAAH7b/+o=")</f>
        <v>#VALUE!</v>
      </c>
      <c r="IB1" t="e">
        <f>AND(JWEB_Syllabus!C30,"AAAAAH7b/+s=")</f>
        <v>#VALUE!</v>
      </c>
      <c r="IC1" t="e">
        <f>AND(JWEB_Syllabus!D30,"AAAAAH7b/+w=")</f>
        <v>#VALUE!</v>
      </c>
      <c r="ID1" t="e">
        <f>AND(JWEB_Syllabus!E30,"AAAAAH7b/+0=")</f>
        <v>#VALUE!</v>
      </c>
      <c r="IE1" t="e">
        <f>AND(JWEB_Syllabus!F30,"AAAAAH7b/+4=")</f>
        <v>#VALUE!</v>
      </c>
      <c r="IF1" t="e">
        <f>AND(JWEB_Syllabus!G30,"AAAAAH7b/+8=")</f>
        <v>#VALUE!</v>
      </c>
      <c r="IG1">
        <f>IF(JWEB_Syllabus!31:31,"AAAAAH7b//A=",0)</f>
        <v>0</v>
      </c>
      <c r="IH1" t="e">
        <f>AND(JWEB_Syllabus!A31,"AAAAAH7b//E=")</f>
        <v>#VALUE!</v>
      </c>
      <c r="II1" t="e">
        <f>AND(JWEB_Syllabus!B31,"AAAAAH7b//I=")</f>
        <v>#VALUE!</v>
      </c>
      <c r="IJ1" t="e">
        <f>AND(JWEB_Syllabus!C31,"AAAAAH7b//M=")</f>
        <v>#VALUE!</v>
      </c>
      <c r="IK1" t="e">
        <f>AND(JWEB_Syllabus!D31,"AAAAAH7b//Q=")</f>
        <v>#VALUE!</v>
      </c>
      <c r="IL1" t="e">
        <f>AND(JWEB_Syllabus!E31,"AAAAAH7b//U=")</f>
        <v>#VALUE!</v>
      </c>
      <c r="IM1" t="e">
        <f>AND(JWEB_Syllabus!F31,"AAAAAH7b//Y=")</f>
        <v>#VALUE!</v>
      </c>
      <c r="IN1" t="e">
        <f>AND(JWEB_Syllabus!G31,"AAAAAH7b//c=")</f>
        <v>#VALUE!</v>
      </c>
      <c r="IO1">
        <f>IF(JWEB_Syllabus!32:32,"AAAAAH7b//g=",0)</f>
        <v>0</v>
      </c>
      <c r="IP1" t="e">
        <f>AND(JWEB_Syllabus!A32,"AAAAAH7b//k=")</f>
        <v>#VALUE!</v>
      </c>
      <c r="IQ1" t="e">
        <f>AND(JWEB_Syllabus!B32,"AAAAAH7b//o=")</f>
        <v>#VALUE!</v>
      </c>
      <c r="IR1" t="e">
        <f>AND(JWEB_Syllabus!C32,"AAAAAH7b//s=")</f>
        <v>#VALUE!</v>
      </c>
      <c r="IS1" t="e">
        <f>AND(JWEB_Syllabus!D32,"AAAAAH7b//w=")</f>
        <v>#VALUE!</v>
      </c>
      <c r="IT1" t="e">
        <f>AND(JWEB_Syllabus!E32,"AAAAAH7b//0=")</f>
        <v>#VALUE!</v>
      </c>
      <c r="IU1" t="e">
        <f>AND(JWEB_Syllabus!F32,"AAAAAH7b//4=")</f>
        <v>#VALUE!</v>
      </c>
      <c r="IV1" t="e">
        <f>AND(JWEB_Syllabus!G32,"AAAAAH7b//8=")</f>
        <v>#VALUE!</v>
      </c>
    </row>
    <row r="2" spans="1:256" x14ac:dyDescent="0.25">
      <c r="A2">
        <f>IF(JWEB_Syllabus!33:33,"AAAAAH/vfwA=",0)</f>
        <v>0</v>
      </c>
      <c r="B2" t="e">
        <f>AND(JWEB_Syllabus!A33,"AAAAAH/vfwE=")</f>
        <v>#VALUE!</v>
      </c>
      <c r="C2" t="e">
        <f>AND(JWEB_Syllabus!B33,"AAAAAH/vfwI=")</f>
        <v>#VALUE!</v>
      </c>
      <c r="D2" t="e">
        <f>AND(JWEB_Syllabus!C33,"AAAAAH/vfwM=")</f>
        <v>#VALUE!</v>
      </c>
      <c r="E2" t="e">
        <f>AND(JWEB_Syllabus!D33,"AAAAAH/vfwQ=")</f>
        <v>#VALUE!</v>
      </c>
      <c r="F2" t="e">
        <f>AND(JWEB_Syllabus!E33,"AAAAAH/vfwU=")</f>
        <v>#VALUE!</v>
      </c>
      <c r="G2" t="e">
        <f>AND(JWEB_Syllabus!F33,"AAAAAH/vfwY=")</f>
        <v>#VALUE!</v>
      </c>
      <c r="H2" t="e">
        <f>AND(JWEB_Syllabus!G33,"AAAAAH/vfwc=")</f>
        <v>#VALUE!</v>
      </c>
      <c r="I2">
        <f>IF(JWEB_Syllabus!34:34,"AAAAAH/vfwg=",0)</f>
        <v>0</v>
      </c>
      <c r="J2" t="e">
        <f>AND(JWEB_Syllabus!A34,"AAAAAH/vfwk=")</f>
        <v>#VALUE!</v>
      </c>
      <c r="K2" t="e">
        <f>AND(JWEB_Syllabus!B34,"AAAAAH/vfwo=")</f>
        <v>#VALUE!</v>
      </c>
      <c r="L2" t="e">
        <f>AND(JWEB_Syllabus!C34,"AAAAAH/vfws=")</f>
        <v>#VALUE!</v>
      </c>
      <c r="M2" t="e">
        <f>AND(JWEB_Syllabus!D34,"AAAAAH/vfww=")</f>
        <v>#VALUE!</v>
      </c>
      <c r="N2" t="e">
        <f>AND(JWEB_Syllabus!E34,"AAAAAH/vfw0=")</f>
        <v>#VALUE!</v>
      </c>
      <c r="O2" t="e">
        <f>AND(JWEB_Syllabus!F34,"AAAAAH/vfw4=")</f>
        <v>#VALUE!</v>
      </c>
      <c r="P2" t="e">
        <f>AND(JWEB_Syllabus!G34,"AAAAAH/vfw8=")</f>
        <v>#VALUE!</v>
      </c>
      <c r="Q2" t="e">
        <f>IF(JWEB_Syllabus!#REF!,"AAAAAH/vfxA=",0)</f>
        <v>#REF!</v>
      </c>
      <c r="R2">
        <f>IF(JWEB_Syllabus!A:A,"AAAAAH/vfxE=",0)</f>
        <v>0</v>
      </c>
      <c r="S2">
        <f>IF(JWEB_Syllabus!B:B,"AAAAAH/vfxI=",0)</f>
        <v>0</v>
      </c>
      <c r="T2">
        <f>IF(JWEB_Syllabus!C:C,"AAAAAH/vfxM=",0)</f>
        <v>0</v>
      </c>
      <c r="U2">
        <f>IF(JWEB_Syllabus!D:D,"AAAAAH/vfxQ=",0)</f>
        <v>0</v>
      </c>
      <c r="V2">
        <f>IF(JWEB_Syllabus!E:E,"AAAAAH/vfxU=",0)</f>
        <v>0</v>
      </c>
      <c r="W2">
        <f>IF(JWEB_Syllabus!F:F,"AAAAAH/vfxY=",0)</f>
        <v>0</v>
      </c>
      <c r="X2">
        <f>IF(JWEB_Syllabus!G:G,"AAAAAH/vfxc=",0)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 x14ac:dyDescent="0.25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>
        <f>IF('Author and Rec of Changes'!1:1,"AAAAABPz/4M=",0)</f>
        <v>0</v>
      </c>
      <c r="EC3" t="e">
        <f>AND('Author and Rec of Changes'!A1,"AAAAABPz/4Q=")</f>
        <v>#VALUE!</v>
      </c>
      <c r="ED3" t="e">
        <f>AND('Author and Rec of Changes'!B1,"AAAAABPz/4U=")</f>
        <v>#VALUE!</v>
      </c>
      <c r="EE3" t="e">
        <f>AND('Author and Rec of Changes'!C1,"AAAAABPz/4Y=")</f>
        <v>#VALUE!</v>
      </c>
      <c r="EF3" t="e">
        <f>AND('Author and Rec of Changes'!E1,"AAAAABPz/4c=")</f>
        <v>#VALUE!</v>
      </c>
      <c r="EG3" t="e">
        <f>AND('Author and Rec of Changes'!F1,"AAAAABPz/4g=")</f>
        <v>#VALUE!</v>
      </c>
      <c r="EH3" t="e">
        <f>AND('Author and Rec of Changes'!#REF!,"AAAAABPz/4k=")</f>
        <v>#REF!</v>
      </c>
      <c r="EI3" t="e">
        <f>IF('Author and Rec of Changes'!#REF!,"AAAAABPz/4o=",0)</f>
        <v>#REF!</v>
      </c>
      <c r="EJ3" t="e">
        <f>AND('Author and Rec of Changes'!#REF!,"AAAAABPz/4s=")</f>
        <v>#REF!</v>
      </c>
      <c r="EK3" t="e">
        <f>AND('Author and Rec of Changes'!#REF!,"AAAAABPz/4w=")</f>
        <v>#REF!</v>
      </c>
      <c r="EL3" t="e">
        <f>AND('Author and Rec of Changes'!#REF!,"AAAAABPz/40=")</f>
        <v>#REF!</v>
      </c>
      <c r="EM3" t="e">
        <f>AND('Author and Rec of Changes'!#REF!,"AAAAABPz/44=")</f>
        <v>#REF!</v>
      </c>
      <c r="EN3" t="e">
        <f>AND('Author and Rec of Changes'!#REF!,"AAAAABPz/48=")</f>
        <v>#REF!</v>
      </c>
      <c r="EO3" t="e">
        <f>AND('Author and Rec of Changes'!#REF!,"AAAAABPz/5A=")</f>
        <v>#REF!</v>
      </c>
      <c r="EP3">
        <f>IF('Author and Rec of Changes'!2:2,"AAAAABPz/5E=",0)</f>
        <v>0</v>
      </c>
      <c r="EQ3" t="e">
        <f>AND('Author and Rec of Changes'!A2,"AAAAABPz/5I=")</f>
        <v>#VALUE!</v>
      </c>
      <c r="ER3" t="e">
        <f>AND('Author and Rec of Changes'!B2,"AAAAABPz/5M=")</f>
        <v>#VALUE!</v>
      </c>
      <c r="ES3" t="e">
        <f>AND('Author and Rec of Changes'!C2,"AAAAABPz/5Q=")</f>
        <v>#VALUE!</v>
      </c>
      <c r="ET3" t="e">
        <f>AND('Author and Rec of Changes'!E2,"AAAAABPz/5U=")</f>
        <v>#VALUE!</v>
      </c>
      <c r="EU3" t="e">
        <f>AND('Author and Rec of Changes'!F2,"AAAAABPz/5Y=")</f>
        <v>#VALUE!</v>
      </c>
      <c r="EV3" t="e">
        <f>AND('Author and Rec of Changes'!#REF!,"AAAAABPz/5c=")</f>
        <v>#REF!</v>
      </c>
      <c r="EW3">
        <f>IF('Author and Rec of Changes'!3:3,"AAAAABPz/5g=",0)</f>
        <v>0</v>
      </c>
      <c r="EX3" t="e">
        <f>AND('Author and Rec of Changes'!A3,"AAAAABPz/5k=")</f>
        <v>#VALUE!</v>
      </c>
      <c r="EY3" t="e">
        <f>AND('Author and Rec of Changes'!B3,"AAAAABPz/5o=")</f>
        <v>#VALUE!</v>
      </c>
      <c r="EZ3" t="e">
        <f>AND('Author and Rec of Changes'!C3,"AAAAABPz/5s=")</f>
        <v>#VALUE!</v>
      </c>
      <c r="FA3" t="e">
        <f>AND('Author and Rec of Changes'!E3,"AAAAABPz/5w=")</f>
        <v>#VALUE!</v>
      </c>
      <c r="FB3" t="e">
        <f>AND('Author and Rec of Changes'!F3,"AAAAABPz/50=")</f>
        <v>#VALUE!</v>
      </c>
      <c r="FC3" t="e">
        <f>AND('Author and Rec of Changes'!#REF!,"AAAAABPz/54=")</f>
        <v>#REF!</v>
      </c>
      <c r="FD3" t="e">
        <f>IF('Author and Rec of Changes'!#REF!,"AAAAABPz/58=",0)</f>
        <v>#REF!</v>
      </c>
      <c r="FE3" t="e">
        <f>AND('Author and Rec of Changes'!#REF!,"AAAAABPz/6A=")</f>
        <v>#REF!</v>
      </c>
      <c r="FF3" t="e">
        <f>AND('Author and Rec of Changes'!#REF!,"AAAAABPz/6E=")</f>
        <v>#REF!</v>
      </c>
      <c r="FG3" t="e">
        <f>AND('Author and Rec of Changes'!#REF!,"AAAAABPz/6I=")</f>
        <v>#REF!</v>
      </c>
      <c r="FH3" t="e">
        <f>AND('Author and Rec of Changes'!#REF!,"AAAAABPz/6M=")</f>
        <v>#REF!</v>
      </c>
      <c r="FI3" t="e">
        <f>AND('Author and Rec of Changes'!#REF!,"AAAAABPz/6Q=")</f>
        <v>#REF!</v>
      </c>
      <c r="FJ3" t="e">
        <f>AND('Author and Rec of Changes'!#REF!,"AAAAABPz/6U=")</f>
        <v>#REF!</v>
      </c>
      <c r="FK3" t="e">
        <f>IF('Author and Rec of Changes'!#REF!,"AAAAABPz/6Y=",0)</f>
        <v>#REF!</v>
      </c>
      <c r="FL3" t="e">
        <f>AND('Author and Rec of Changes'!#REF!,"AAAAABPz/6c=")</f>
        <v>#REF!</v>
      </c>
      <c r="FM3" t="e">
        <f>AND('Author and Rec of Changes'!#REF!,"AAAAABPz/6g=")</f>
        <v>#REF!</v>
      </c>
      <c r="FN3" t="e">
        <f>AND('Author and Rec of Changes'!#REF!,"AAAAABPz/6k=")</f>
        <v>#REF!</v>
      </c>
      <c r="FO3" t="e">
        <f>AND('Author and Rec of Changes'!#REF!,"AAAAABPz/6o=")</f>
        <v>#REF!</v>
      </c>
      <c r="FP3" t="e">
        <f>AND('Author and Rec of Changes'!#REF!,"AAAAABPz/6s=")</f>
        <v>#REF!</v>
      </c>
      <c r="FQ3" t="e">
        <f>AND('Author and Rec of Changes'!#REF!,"AAAAABPz/6w=")</f>
        <v>#REF!</v>
      </c>
      <c r="FR3">
        <f>IF('Author and Rec of Changes'!4:4,"AAAAABPz/60=",0)</f>
        <v>0</v>
      </c>
      <c r="FS3" t="e">
        <f>AND('Author and Rec of Changes'!A4,"AAAAABPz/64=")</f>
        <v>#VALUE!</v>
      </c>
      <c r="FT3" t="e">
        <f>AND('Author and Rec of Changes'!B4,"AAAAABPz/68=")</f>
        <v>#VALUE!</v>
      </c>
      <c r="FU3" t="e">
        <f>AND('Author and Rec of Changes'!C4,"AAAAABPz/7A=")</f>
        <v>#VALUE!</v>
      </c>
      <c r="FV3" t="e">
        <f>AND('Author and Rec of Changes'!E4,"AAAAABPz/7E=")</f>
        <v>#VALUE!</v>
      </c>
      <c r="FW3" t="e">
        <f>AND('Author and Rec of Changes'!F4,"AAAAABPz/7I=")</f>
        <v>#VALUE!</v>
      </c>
      <c r="FX3" t="e">
        <f>AND('Author and Rec of Changes'!#REF!,"AAAAABPz/7M=")</f>
        <v>#REF!</v>
      </c>
      <c r="FY3" t="e">
        <f>IF('Author and Rec of Changes'!#REF!,"AAAAABPz/7Q=",0)</f>
        <v>#REF!</v>
      </c>
      <c r="FZ3" t="e">
        <f>AND('Author and Rec of Changes'!#REF!,"AAAAABPz/7U=")</f>
        <v>#REF!</v>
      </c>
      <c r="GA3" t="e">
        <f>AND('Author and Rec of Changes'!#REF!,"AAAAABPz/7Y=")</f>
        <v>#REF!</v>
      </c>
      <c r="GB3" t="e">
        <f>AND('Author and Rec of Changes'!#REF!,"AAAAABPz/7c=")</f>
        <v>#REF!</v>
      </c>
      <c r="GC3" t="e">
        <f>AND('Author and Rec of Changes'!#REF!,"AAAAABPz/7g=")</f>
        <v>#REF!</v>
      </c>
      <c r="GD3" t="e">
        <f>AND('Author and Rec of Changes'!#REF!,"AAAAABPz/7k=")</f>
        <v>#REF!</v>
      </c>
      <c r="GE3" t="e">
        <f>AND('Author and Rec of Changes'!#REF!,"AAAAABPz/7o=")</f>
        <v>#REF!</v>
      </c>
      <c r="GF3" t="e">
        <f>IF('Author and Rec of Changes'!#REF!,"AAAAABPz/7s=",0)</f>
        <v>#REF!</v>
      </c>
      <c r="GG3" t="e">
        <f>AND('Author and Rec of Changes'!#REF!,"AAAAABPz/7w=")</f>
        <v>#REF!</v>
      </c>
      <c r="GH3" t="e">
        <f>AND('Author and Rec of Changes'!#REF!,"AAAAABPz/70=")</f>
        <v>#REF!</v>
      </c>
      <c r="GI3" t="e">
        <f>AND('Author and Rec of Changes'!#REF!,"AAAAABPz/74=")</f>
        <v>#REF!</v>
      </c>
      <c r="GJ3" t="e">
        <f>AND('Author and Rec of Changes'!#REF!,"AAAAABPz/78=")</f>
        <v>#REF!</v>
      </c>
      <c r="GK3" t="e">
        <f>AND('Author and Rec of Changes'!#REF!,"AAAAABPz/8A=")</f>
        <v>#REF!</v>
      </c>
      <c r="GL3" t="e">
        <f>AND('Author and Rec of Changes'!#REF!,"AAAAABPz/8E=")</f>
        <v>#REF!</v>
      </c>
      <c r="GM3" t="e">
        <f>IF('Author and Rec of Changes'!#REF!,"AAAAABPz/8I=",0)</f>
        <v>#REF!</v>
      </c>
      <c r="GN3" t="e">
        <f>AND('Author and Rec of Changes'!#REF!,"AAAAABPz/8M=")</f>
        <v>#REF!</v>
      </c>
      <c r="GO3" t="e">
        <f>AND('Author and Rec of Changes'!#REF!,"AAAAABPz/8Q=")</f>
        <v>#REF!</v>
      </c>
      <c r="GP3" t="e">
        <f>AND('Author and Rec of Changes'!#REF!,"AAAAABPz/8U=")</f>
        <v>#REF!</v>
      </c>
      <c r="GQ3" t="e">
        <f>AND('Author and Rec of Changes'!#REF!,"AAAAABPz/8Y=")</f>
        <v>#REF!</v>
      </c>
      <c r="GR3" t="e">
        <f>AND('Author and Rec of Changes'!#REF!,"AAAAABPz/8c=")</f>
        <v>#REF!</v>
      </c>
      <c r="GS3" t="e">
        <f>AND('Author and Rec of Changes'!#REF!,"AAAAABPz/8g=")</f>
        <v>#REF!</v>
      </c>
      <c r="GT3" t="e">
        <f>IF('Author and Rec of Changes'!#REF!,"AAAAABPz/8k=",0)</f>
        <v>#REF!</v>
      </c>
      <c r="GU3" t="e">
        <f>AND('Author and Rec of Changes'!#REF!,"AAAAABPz/8o=")</f>
        <v>#REF!</v>
      </c>
      <c r="GV3" t="e">
        <f>AND('Author and Rec of Changes'!#REF!,"AAAAABPz/8s=")</f>
        <v>#REF!</v>
      </c>
      <c r="GW3" t="e">
        <f>AND('Author and Rec of Changes'!#REF!,"AAAAABPz/8w=")</f>
        <v>#REF!</v>
      </c>
      <c r="GX3" t="e">
        <f>AND('Author and Rec of Changes'!#REF!,"AAAAABPz/80=")</f>
        <v>#REF!</v>
      </c>
      <c r="GY3" t="e">
        <f>AND('Author and Rec of Changes'!#REF!,"AAAAABPz/84=")</f>
        <v>#REF!</v>
      </c>
      <c r="GZ3" t="e">
        <f>AND('Author and Rec of Changes'!#REF!,"AAAAABPz/88=")</f>
        <v>#REF!</v>
      </c>
      <c r="HA3" t="e">
        <f>IF('Author and Rec of Changes'!#REF!,"AAAAABPz/9A=",0)</f>
        <v>#REF!</v>
      </c>
      <c r="HB3" t="e">
        <f>AND('Author and Rec of Changes'!#REF!,"AAAAABPz/9E=")</f>
        <v>#REF!</v>
      </c>
      <c r="HC3" t="e">
        <f>AND('Author and Rec of Changes'!#REF!,"AAAAABPz/9I=")</f>
        <v>#REF!</v>
      </c>
      <c r="HD3" t="e">
        <f>AND('Author and Rec of Changes'!#REF!,"AAAAABPz/9M=")</f>
        <v>#REF!</v>
      </c>
      <c r="HE3" t="e">
        <f>AND('Author and Rec of Changes'!#REF!,"AAAAABPz/9Q=")</f>
        <v>#REF!</v>
      </c>
      <c r="HF3" t="e">
        <f>AND('Author and Rec of Changes'!#REF!,"AAAAABPz/9U=")</f>
        <v>#REF!</v>
      </c>
      <c r="HG3" t="e">
        <f>AND('Author and Rec of Changes'!#REF!,"AAAAABPz/9Y=")</f>
        <v>#REF!</v>
      </c>
      <c r="HH3" t="e">
        <f>IF('Author and Rec of Changes'!#REF!,"AAAAABPz/9c=",0)</f>
        <v>#REF!</v>
      </c>
      <c r="HI3" t="e">
        <f>AND('Author and Rec of Changes'!#REF!,"AAAAABPz/9g=")</f>
        <v>#REF!</v>
      </c>
      <c r="HJ3" t="e">
        <f>AND('Author and Rec of Changes'!#REF!,"AAAAABPz/9k=")</f>
        <v>#REF!</v>
      </c>
      <c r="HK3" t="e">
        <f>AND('Author and Rec of Changes'!#REF!,"AAAAABPz/9o=")</f>
        <v>#REF!</v>
      </c>
      <c r="HL3" t="e">
        <f>AND('Author and Rec of Changes'!#REF!,"AAAAABPz/9s=")</f>
        <v>#REF!</v>
      </c>
      <c r="HM3" t="e">
        <f>AND('Author and Rec of Changes'!#REF!,"AAAAABPz/9w=")</f>
        <v>#REF!</v>
      </c>
      <c r="HN3" t="e">
        <f>AND('Author and Rec of Changes'!#REF!,"AAAAABPz/90=")</f>
        <v>#REF!</v>
      </c>
      <c r="HO3" t="e">
        <f>IF('Author and Rec of Changes'!#REF!,"AAAAABPz/94=",0)</f>
        <v>#REF!</v>
      </c>
      <c r="HP3" t="e">
        <f>AND('Author and Rec of Changes'!#REF!,"AAAAABPz/98=")</f>
        <v>#REF!</v>
      </c>
      <c r="HQ3" t="e">
        <f>AND('Author and Rec of Changes'!#REF!,"AAAAABPz/+A=")</f>
        <v>#REF!</v>
      </c>
      <c r="HR3" t="e">
        <f>AND('Author and Rec of Changes'!#REF!,"AAAAABPz/+E=")</f>
        <v>#REF!</v>
      </c>
      <c r="HS3" t="e">
        <f>AND('Author and Rec of Changes'!#REF!,"AAAAABPz/+I=")</f>
        <v>#REF!</v>
      </c>
      <c r="HT3" t="e">
        <f>AND('Author and Rec of Changes'!#REF!,"AAAAABPz/+M=")</f>
        <v>#REF!</v>
      </c>
      <c r="HU3" t="e">
        <f>AND('Author and Rec of Changes'!#REF!,"AAAAABPz/+Q=")</f>
        <v>#REF!</v>
      </c>
      <c r="HV3">
        <f>IF('Author and Rec of Changes'!5:5,"AAAAABPz/+U=",0)</f>
        <v>0</v>
      </c>
      <c r="HW3" t="e">
        <f>AND('Author and Rec of Changes'!A5,"AAAAABPz/+Y=")</f>
        <v>#VALUE!</v>
      </c>
      <c r="HX3" t="e">
        <f>AND('Author and Rec of Changes'!B5,"AAAAABPz/+c=")</f>
        <v>#VALUE!</v>
      </c>
      <c r="HY3" t="e">
        <f>AND('Author and Rec of Changes'!C5,"AAAAABPz/+g=")</f>
        <v>#VALUE!</v>
      </c>
      <c r="HZ3" t="e">
        <f>AND('Author and Rec of Changes'!E5,"AAAAABPz/+k=")</f>
        <v>#VALUE!</v>
      </c>
      <c r="IA3" t="e">
        <f>AND('Author and Rec of Changes'!F5,"AAAAABPz/+o=")</f>
        <v>#VALUE!</v>
      </c>
      <c r="IB3" t="e">
        <f>AND('Author and Rec of Changes'!#REF!,"AAAAABPz/+s=")</f>
        <v>#REF!</v>
      </c>
      <c r="IC3" t="e">
        <f>IF('Author and Rec of Changes'!#REF!,"AAAAABPz/+w=",0)</f>
        <v>#REF!</v>
      </c>
      <c r="ID3" t="e">
        <f>AND('Author and Rec of Changes'!#REF!,"AAAAABPz/+0=")</f>
        <v>#REF!</v>
      </c>
      <c r="IE3" t="e">
        <f>AND('Author and Rec of Changes'!#REF!,"AAAAABPz/+4=")</f>
        <v>#REF!</v>
      </c>
      <c r="IF3" t="e">
        <f>AND('Author and Rec of Changes'!#REF!,"AAAAABPz/+8=")</f>
        <v>#REF!</v>
      </c>
      <c r="IG3" t="e">
        <f>AND('Author and Rec of Changes'!#REF!,"AAAAABPz//A=")</f>
        <v>#REF!</v>
      </c>
      <c r="IH3" t="e">
        <f>AND('Author and Rec of Changes'!#REF!,"AAAAABPz//E=")</f>
        <v>#REF!</v>
      </c>
      <c r="II3" t="e">
        <f>AND('Author and Rec of Changes'!#REF!,"AAAAABPz//I=")</f>
        <v>#REF!</v>
      </c>
      <c r="IJ3" t="e">
        <f>IF('Author and Rec of Changes'!#REF!,"AAAAABPz//M=",0)</f>
        <v>#REF!</v>
      </c>
      <c r="IK3" t="e">
        <f>AND('Author and Rec of Changes'!#REF!,"AAAAABPz//Q=")</f>
        <v>#REF!</v>
      </c>
      <c r="IL3" t="e">
        <f>AND('Author and Rec of Changes'!#REF!,"AAAAABPz//U=")</f>
        <v>#REF!</v>
      </c>
      <c r="IM3" t="e">
        <f>AND('Author and Rec of Changes'!#REF!,"AAAAABPz//Y=")</f>
        <v>#REF!</v>
      </c>
      <c r="IN3" t="e">
        <f>AND('Author and Rec of Changes'!#REF!,"AAAAABPz//c=")</f>
        <v>#REF!</v>
      </c>
      <c r="IO3" t="e">
        <f>AND('Author and Rec of Changes'!#REF!,"AAAAABPz//g=")</f>
        <v>#REF!</v>
      </c>
      <c r="IP3" t="e">
        <f>AND('Author and Rec of Changes'!#REF!,"AAAAABPz//k=")</f>
        <v>#REF!</v>
      </c>
      <c r="IQ3">
        <f>IF('Author and Rec of Changes'!6:6,"AAAAABPz//o=",0)</f>
        <v>0</v>
      </c>
      <c r="IR3" t="e">
        <f>AND('Author and Rec of Changes'!A6,"AAAAABPz//s=")</f>
        <v>#VALUE!</v>
      </c>
      <c r="IS3" t="e">
        <f>AND('Author and Rec of Changes'!B6,"AAAAABPz//w=")</f>
        <v>#VALUE!</v>
      </c>
      <c r="IT3" t="e">
        <f>AND('Author and Rec of Changes'!C6,"AAAAABPz//0=")</f>
        <v>#VALUE!</v>
      </c>
      <c r="IU3" t="e">
        <f>AND('Author and Rec of Changes'!E6,"AAAAABPz//4=")</f>
        <v>#VALUE!</v>
      </c>
      <c r="IV3" t="e">
        <f>AND('Author and Rec of Changes'!F6,"AAAAABPz//8=")</f>
        <v>#VALUE!</v>
      </c>
    </row>
    <row r="4" spans="1:256" ht="14.5" x14ac:dyDescent="0.35">
      <c r="A4" t="e">
        <f>AND('Author and Rec of Changes'!#REF!,"AAAAAH/rVAA=")</f>
        <v>#REF!</v>
      </c>
      <c r="B4">
        <f>IF('Author and Rec of Changes'!7:7,"AAAAAH/rVAE=",0)</f>
        <v>0</v>
      </c>
      <c r="C4" t="e">
        <f>AND('Author and Rec of Changes'!A7,"AAAAAH/rVAI=")</f>
        <v>#VALUE!</v>
      </c>
      <c r="D4" t="e">
        <f>AND('Author and Rec of Changes'!B7,"AAAAAH/rVAM=")</f>
        <v>#VALUE!</v>
      </c>
      <c r="E4" t="e">
        <f>AND('Author and Rec of Changes'!C7,"AAAAAH/rVAQ=")</f>
        <v>#VALUE!</v>
      </c>
      <c r="F4" t="e">
        <f>AND('Author and Rec of Changes'!E7,"AAAAAH/rVAU=")</f>
        <v>#VALUE!</v>
      </c>
      <c r="G4" t="e">
        <f>AND('Author and Rec of Changes'!F7,"AAAAAH/rVAY=")</f>
        <v>#VALUE!</v>
      </c>
      <c r="H4" t="e">
        <f>AND('Author and Rec of Changes'!#REF!,"AAAAAH/rVAc=")</f>
        <v>#REF!</v>
      </c>
      <c r="I4">
        <f>IF('Author and Rec of Changes'!8:8,"AAAAAH/rVAg=",0)</f>
        <v>0</v>
      </c>
      <c r="J4" t="e">
        <f>AND('Author and Rec of Changes'!A8,"AAAAAH/rVAk=")</f>
        <v>#VALUE!</v>
      </c>
      <c r="K4" t="e">
        <f>AND('Author and Rec of Changes'!B8,"AAAAAH/rVAo=")</f>
        <v>#VALUE!</v>
      </c>
      <c r="L4" t="e">
        <f>AND('Author and Rec of Changes'!C8,"AAAAAH/rVAs=")</f>
        <v>#VALUE!</v>
      </c>
      <c r="M4" t="e">
        <f>AND('Author and Rec of Changes'!E8,"AAAAAH/rVAw=")</f>
        <v>#VALUE!</v>
      </c>
      <c r="N4" t="e">
        <f>AND('Author and Rec of Changes'!F8,"AAAAAH/rVA0=")</f>
        <v>#VALUE!</v>
      </c>
      <c r="O4" t="e">
        <f>AND('Author and Rec of Changes'!#REF!,"AAAAAH/rVA4=")</f>
        <v>#REF!</v>
      </c>
      <c r="P4">
        <f>IF('Author and Rec of Changes'!9:9,"AAAAAH/rVA8=",0)</f>
        <v>0</v>
      </c>
      <c r="Q4" t="e">
        <f>AND('Author and Rec of Changes'!A9,"AAAAAH/rVBA=")</f>
        <v>#VALUE!</v>
      </c>
      <c r="R4" t="e">
        <f>AND('Author and Rec of Changes'!B9,"AAAAAH/rVBE=")</f>
        <v>#VALUE!</v>
      </c>
      <c r="S4" t="e">
        <f>AND('Author and Rec of Changes'!C9,"AAAAAH/rVBI=")</f>
        <v>#VALUE!</v>
      </c>
      <c r="T4" t="e">
        <f>AND('Author and Rec of Changes'!E9,"AAAAAH/rVBM=")</f>
        <v>#VALUE!</v>
      </c>
      <c r="U4" t="e">
        <f>AND('Author and Rec of Changes'!F9,"AAAAAH/rVBQ=")</f>
        <v>#VALUE!</v>
      </c>
      <c r="V4" t="e">
        <f>AND('Author and Rec of Changes'!#REF!,"AAAAAH/rVBU=")</f>
        <v>#REF!</v>
      </c>
      <c r="W4">
        <f>IF('Author and Rec of Changes'!10:10,"AAAAAH/rVBY=",0)</f>
        <v>0</v>
      </c>
      <c r="X4">
        <f>IF('Author and Rec of Changes'!11:11,"AAAAAH/rVBc=",0)</f>
        <v>0</v>
      </c>
      <c r="Y4">
        <f>IF('Author and Rec of Changes'!12:12,"AAAAAH/rVBg=",0)</f>
        <v>0</v>
      </c>
      <c r="Z4" t="e">
        <f>IF('Author and Rec of Changes'!#REF!,"AAAAAH/rVBk=",0)</f>
        <v>#REF!</v>
      </c>
      <c r="AA4">
        <f>IF('Author and Rec of Changes'!13:13,"AAAAAH/rVBo=",0)</f>
        <v>0</v>
      </c>
      <c r="AB4">
        <f>IF('Author and Rec of Changes'!14:14,"AAAAAH/rVBs=",0)</f>
        <v>0</v>
      </c>
      <c r="AC4">
        <f>IF('Author and Rec of Changes'!15:15,"AAAAAH/rVBw=",0)</f>
        <v>0</v>
      </c>
      <c r="AD4">
        <f>IF('Author and Rec of Changes'!A:A,"AAAAAH/rVB0=",0)</f>
        <v>0</v>
      </c>
      <c r="AE4" t="e">
        <f>IF('Author and Rec of Changes'!B:B,"AAAAAH/rVB4=",0)</f>
        <v>#VALUE!</v>
      </c>
      <c r="AF4" t="e">
        <f>IF('Author and Rec of Changes'!C:C,"AAAAAH/rVB8=",0)</f>
        <v>#VALUE!</v>
      </c>
      <c r="AG4" t="e">
        <f>IF('Author and Rec of Changes'!E:E,"AAAAAH/rVCA=",0)</f>
        <v>#VALUE!</v>
      </c>
      <c r="AH4">
        <f>IF('Author and Rec of Changes'!F:F,"AAAAAH/rVCE=",0)</f>
        <v>0</v>
      </c>
      <c r="AI4" t="e">
        <f>IF('Author and Rec of Changes'!#REF!,"AAAAAH/rVCI=",0)</f>
        <v>#REF!</v>
      </c>
      <c r="AJ4" t="s">
        <v>44</v>
      </c>
      <c r="AK4" s="1" t="s">
        <v>45</v>
      </c>
      <c r="AL4" s="2" t="s">
        <v>46</v>
      </c>
      <c r="AM4" t="e">
        <f>IF("N",[0]!_xlnm._FilterDatabase,"AAAAAH/rVCY=")</f>
        <v>#VALUE!</v>
      </c>
    </row>
    <row r="5" spans="1:256" x14ac:dyDescent="0.25">
      <c r="A5" t="e">
        <f>AND(JWEB_Syllabus!A1,"AAAAACvx+wA=")</f>
        <v>#VALUE!</v>
      </c>
      <c r="B5" t="e">
        <f>IF(JWEB_Syllabus!#REF!,"AAAAACvx+wE=",0)</f>
        <v>#REF!</v>
      </c>
      <c r="C5" t="e">
        <f>AND(JWEB_Syllabus!#REF!,"AAAAACvx+wI=")</f>
        <v>#REF!</v>
      </c>
      <c r="D5" t="e">
        <f>AND(JWEB_Syllabus!#REF!,"AAAAACvx+wM=")</f>
        <v>#REF!</v>
      </c>
      <c r="E5" t="e">
        <f>AND(JWEB_Syllabus!#REF!,"AAAAACvx+wQ=")</f>
        <v>#REF!</v>
      </c>
      <c r="F5" t="e">
        <f>AND(JWEB_Syllabus!#REF!,"AAAAACvx+wU=")</f>
        <v>#REF!</v>
      </c>
      <c r="G5" t="e">
        <f>AND(JWEB_Syllabus!#REF!,"AAAAACvx+wY=")</f>
        <v>#REF!</v>
      </c>
      <c r="H5" t="e">
        <f>AND(JWEB_Syllabus!#REF!,"AAAAACvx+wc=")</f>
        <v>#REF!</v>
      </c>
      <c r="I5" t="e">
        <f>AND(JWEB_Syllabus!#REF!,"AAAAACvx+wg=")</f>
        <v>#REF!</v>
      </c>
      <c r="J5" t="e">
        <f>IF(JWEB_Syllabus!#REF!,"AAAAACvx+wk=",0)</f>
        <v>#REF!</v>
      </c>
      <c r="K5" t="e">
        <f>AND(JWEB_Syllabus!#REF!,"AAAAACvx+wo=")</f>
        <v>#REF!</v>
      </c>
      <c r="L5" t="e">
        <f>AND(JWEB_Syllabus!#REF!,"AAAAACvx+ws=")</f>
        <v>#REF!</v>
      </c>
      <c r="M5" t="e">
        <f>AND(JWEB_Syllabus!#REF!,"AAAAACvx+ww=")</f>
        <v>#REF!</v>
      </c>
      <c r="N5" t="e">
        <f>AND(JWEB_Syllabus!#REF!,"AAAAACvx+w0=")</f>
        <v>#REF!</v>
      </c>
      <c r="O5" t="e">
        <f>AND(JWEB_Syllabus!#REF!,"AAAAACvx+w4=")</f>
        <v>#REF!</v>
      </c>
      <c r="P5" t="e">
        <f>AND(JWEB_Syllabus!#REF!,"AAAAACvx+w8=")</f>
        <v>#REF!</v>
      </c>
      <c r="Q5" t="e">
        <f>AND(JWEB_Syllabus!#REF!,"AAAAACvx+xA=")</f>
        <v>#REF!</v>
      </c>
    </row>
  </sheetData>
  <phoneticPr fontId="4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JWEB_Syllabus</vt:lpstr>
      <vt:lpstr>Java Web_Schedule</vt:lpstr>
      <vt:lpstr>Author and Rec of 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Nguyen Thi Dieu (FA.TOD)</cp:lastModifiedBy>
  <cp:lastPrinted>2012-11-12T04:29:11Z</cp:lastPrinted>
  <dcterms:created xsi:type="dcterms:W3CDTF">2010-11-19T03:46:05Z</dcterms:created>
  <dcterms:modified xsi:type="dcterms:W3CDTF">2019-11-07T09:19:17Z</dcterms:modified>
  <cp:category>Template</cp:category>
  <cp:contentStatus>20/11/2012</cp:contentStatus>
</cp:coreProperties>
</file>