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ach\Documents\data_projects\royalties\"/>
    </mc:Choice>
  </mc:AlternateContent>
  <xr:revisionPtr revIDLastSave="0" documentId="13_ncr:1_{41940352-30F4-4A6E-93B5-DA3252D74AAF}" xr6:coauthVersionLast="47" xr6:coauthVersionMax="47" xr10:uidLastSave="{00000000-0000-0000-0000-000000000000}"/>
  <bookViews>
    <workbookView xWindow="-103" yWindow="-103" windowWidth="33120" windowHeight="18000" xr2:uid="{525AD460-90D6-4114-A8F4-69DE976C6446}"/>
  </bookViews>
  <sheets>
    <sheet name="Model" sheetId="1" r:id="rId1"/>
    <sheet name="Royalties" sheetId="5" r:id="rId2"/>
    <sheet name="Oil Production" sheetId="2" r:id="rId3"/>
    <sheet name="Gas Production" sheetId="4" r:id="rId4"/>
    <sheet name="Liquids Production" sheetId="3" r:id="rId5"/>
  </sheets>
  <definedNames>
    <definedName name="solver_adj" localSheetId="3" hidden="1">'Gas Production'!$B$4:$B$5</definedName>
    <definedName name="solver_adj" localSheetId="4" hidden="1">'Liquids Production'!$B$4:$B$5</definedName>
    <definedName name="solver_adj" localSheetId="2" hidden="1">'Oil Production'!$B$2:$B$3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1" localSheetId="2" hidden="1">'Oil Production'!#REF!</definedName>
    <definedName name="solver_lin" localSheetId="3" hidden="1">2</definedName>
    <definedName name="solver_lin" localSheetId="4" hidden="1">2</definedName>
    <definedName name="solver_lin" localSheetId="2" hidden="1">2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3" hidden="1">2</definedName>
    <definedName name="solver_neg" localSheetId="4" hidden="1">2</definedName>
    <definedName name="solver_neg" localSheetId="2" hidden="1">2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opt" localSheetId="3" hidden="1">'Gas Production'!$B$7</definedName>
    <definedName name="solver_opt" localSheetId="4" hidden="1">'Liquids Production'!$B$7</definedName>
    <definedName name="solver_opt" localSheetId="2" hidden="1">'Oil Production'!#REF!</definedName>
    <definedName name="solver_pre" localSheetId="3" hidden="1">0.000001</definedName>
    <definedName name="solver_pre" localSheetId="4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2" hidden="1">1</definedName>
    <definedName name="solver_rel1" localSheetId="2" hidden="1">3</definedName>
    <definedName name="solver_rhs1" localSheetId="2" hidden="1">0</definedName>
    <definedName name="solver_rlx" localSheetId="3" hidden="1">2</definedName>
    <definedName name="solver_rlx" localSheetId="4" hidden="1">1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3" hidden="1">1</definedName>
    <definedName name="solver_scl" localSheetId="4" hidden="1">2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3" hidden="1">2</definedName>
    <definedName name="solver_ver" localSheetId="4" hidden="1">2</definedName>
    <definedName name="solver_ver" localSheetId="2" hidden="1">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I5" i="1"/>
  <c r="P45" i="1"/>
  <c r="P54" i="1"/>
  <c r="P39" i="1"/>
  <c r="Y44" i="1"/>
  <c r="X44" i="1"/>
  <c r="W44" i="1"/>
  <c r="V44" i="1"/>
  <c r="U44" i="1"/>
  <c r="T44" i="1"/>
  <c r="S44" i="1"/>
  <c r="R44" i="1"/>
  <c r="Z27" i="1"/>
  <c r="Z28" i="1"/>
  <c r="Z29" i="1"/>
  <c r="Z30" i="1"/>
  <c r="Z31" i="1"/>
  <c r="Z32" i="1"/>
  <c r="Z33" i="1"/>
  <c r="Z34" i="1"/>
  <c r="Z35" i="1"/>
  <c r="Z36" i="1"/>
  <c r="Y43" i="1"/>
  <c r="X43" i="1"/>
  <c r="W43" i="1"/>
  <c r="V43" i="1"/>
  <c r="U43" i="1"/>
  <c r="T43" i="1"/>
  <c r="S43" i="1"/>
  <c r="R43" i="1"/>
  <c r="D12" i="1"/>
  <c r="D13" i="1" s="1"/>
  <c r="B12" i="1"/>
  <c r="C12" i="1"/>
  <c r="G12" i="1"/>
  <c r="I12" i="1"/>
  <c r="B13" i="1"/>
  <c r="C13" i="1"/>
  <c r="G13" i="1"/>
  <c r="B14" i="1"/>
  <c r="C14" i="1"/>
  <c r="G14" i="1"/>
  <c r="B15" i="1"/>
  <c r="C15" i="1"/>
  <c r="G15" i="1"/>
  <c r="B16" i="1"/>
  <c r="C16" i="1"/>
  <c r="G16" i="1"/>
  <c r="B17" i="1"/>
  <c r="C17" i="1"/>
  <c r="G17" i="1"/>
  <c r="B18" i="1"/>
  <c r="C18" i="1"/>
  <c r="G18" i="1"/>
  <c r="B19" i="1"/>
  <c r="C19" i="1"/>
  <c r="G19" i="1"/>
  <c r="B20" i="1"/>
  <c r="C20" i="1"/>
  <c r="G20" i="1"/>
  <c r="B21" i="1"/>
  <c r="C21" i="1"/>
  <c r="G21" i="1"/>
  <c r="B22" i="1"/>
  <c r="C22" i="1"/>
  <c r="G22" i="1"/>
  <c r="B23" i="1"/>
  <c r="C23" i="1"/>
  <c r="G23" i="1"/>
  <c r="B24" i="1"/>
  <c r="C24" i="1"/>
  <c r="G24" i="1"/>
  <c r="B25" i="1"/>
  <c r="C25" i="1"/>
  <c r="G25" i="1"/>
  <c r="B26" i="1"/>
  <c r="C26" i="1"/>
  <c r="G26" i="1"/>
  <c r="B27" i="1"/>
  <c r="C27" i="1"/>
  <c r="G27" i="1"/>
  <c r="B28" i="1"/>
  <c r="C28" i="1"/>
  <c r="G28" i="1"/>
  <c r="B29" i="1"/>
  <c r="C29" i="1"/>
  <c r="G29" i="1"/>
  <c r="B30" i="1"/>
  <c r="C30" i="1"/>
  <c r="G30" i="1"/>
  <c r="B31" i="1"/>
  <c r="C31" i="1"/>
  <c r="G31" i="1"/>
  <c r="B32" i="1"/>
  <c r="C32" i="1"/>
  <c r="G32" i="1"/>
  <c r="B33" i="1"/>
  <c r="C33" i="1"/>
  <c r="G33" i="1"/>
  <c r="B34" i="1"/>
  <c r="C34" i="1"/>
  <c r="G34" i="1"/>
  <c r="B35" i="1"/>
  <c r="C35" i="1"/>
  <c r="G35" i="1"/>
  <c r="B36" i="1"/>
  <c r="C36" i="1"/>
  <c r="G36" i="1"/>
  <c r="B37" i="1"/>
  <c r="C37" i="1"/>
  <c r="G37" i="1"/>
  <c r="B38" i="1"/>
  <c r="C38" i="1"/>
  <c r="G38" i="1"/>
  <c r="B39" i="1"/>
  <c r="C39" i="1"/>
  <c r="G39" i="1"/>
  <c r="B40" i="1"/>
  <c r="C40" i="1"/>
  <c r="G40" i="1"/>
  <c r="B41" i="1"/>
  <c r="C41" i="1"/>
  <c r="G41" i="1"/>
  <c r="B42" i="1"/>
  <c r="C42" i="1"/>
  <c r="G42" i="1"/>
  <c r="B43" i="1"/>
  <c r="C43" i="1"/>
  <c r="G43" i="1"/>
  <c r="B44" i="1"/>
  <c r="C44" i="1"/>
  <c r="G44" i="1"/>
  <c r="B45" i="1"/>
  <c r="C45" i="1"/>
  <c r="G45" i="1"/>
  <c r="B46" i="1"/>
  <c r="C46" i="1"/>
  <c r="G46" i="1"/>
  <c r="B47" i="1"/>
  <c r="C47" i="1"/>
  <c r="G47" i="1"/>
  <c r="B48" i="1"/>
  <c r="C48" i="1"/>
  <c r="G48" i="1"/>
  <c r="B49" i="1"/>
  <c r="C49" i="1"/>
  <c r="G49" i="1"/>
  <c r="B50" i="1"/>
  <c r="C50" i="1"/>
  <c r="G50" i="1"/>
  <c r="B51" i="1"/>
  <c r="C51" i="1"/>
  <c r="G51" i="1"/>
  <c r="B52" i="1"/>
  <c r="C52" i="1"/>
  <c r="G52" i="1"/>
  <c r="B53" i="1"/>
  <c r="C53" i="1"/>
  <c r="G53" i="1"/>
  <c r="B54" i="1"/>
  <c r="C54" i="1"/>
  <c r="G54" i="1"/>
  <c r="B55" i="1"/>
  <c r="C55" i="1"/>
  <c r="G55" i="1"/>
  <c r="B56" i="1"/>
  <c r="C56" i="1"/>
  <c r="G56" i="1"/>
  <c r="B57" i="1"/>
  <c r="C57" i="1"/>
  <c r="G57" i="1"/>
  <c r="B58" i="1"/>
  <c r="C58" i="1"/>
  <c r="G58" i="1"/>
  <c r="B59" i="1"/>
  <c r="C59" i="1"/>
  <c r="G59" i="1"/>
  <c r="B60" i="1"/>
  <c r="C60" i="1"/>
  <c r="G60" i="1"/>
  <c r="B61" i="1"/>
  <c r="C61" i="1"/>
  <c r="G61" i="1"/>
  <c r="B62" i="1"/>
  <c r="C62" i="1"/>
  <c r="G62" i="1"/>
  <c r="B63" i="1"/>
  <c r="C63" i="1"/>
  <c r="G63" i="1"/>
  <c r="B64" i="1"/>
  <c r="C64" i="1"/>
  <c r="G64" i="1"/>
  <c r="B65" i="1"/>
  <c r="C65" i="1"/>
  <c r="G65" i="1"/>
  <c r="B66" i="1"/>
  <c r="C66" i="1"/>
  <c r="G66" i="1"/>
  <c r="B67" i="1"/>
  <c r="C67" i="1"/>
  <c r="G67" i="1"/>
  <c r="B68" i="1"/>
  <c r="C68" i="1"/>
  <c r="G68" i="1"/>
  <c r="B69" i="1"/>
  <c r="C69" i="1"/>
  <c r="G69" i="1"/>
  <c r="B70" i="1"/>
  <c r="C70" i="1"/>
  <c r="G70" i="1"/>
  <c r="B71" i="1"/>
  <c r="C71" i="1"/>
  <c r="G71" i="1"/>
  <c r="B72" i="1"/>
  <c r="C72" i="1"/>
  <c r="G72" i="1"/>
  <c r="B73" i="1"/>
  <c r="C73" i="1"/>
  <c r="G73" i="1"/>
  <c r="B74" i="1"/>
  <c r="C74" i="1"/>
  <c r="G74" i="1"/>
  <c r="B75" i="1"/>
  <c r="C75" i="1"/>
  <c r="G75" i="1"/>
  <c r="B76" i="1"/>
  <c r="C76" i="1"/>
  <c r="G76" i="1"/>
  <c r="B77" i="1"/>
  <c r="C77" i="1"/>
  <c r="G77" i="1"/>
  <c r="B78" i="1"/>
  <c r="C78" i="1"/>
  <c r="G78" i="1"/>
  <c r="B79" i="1"/>
  <c r="C79" i="1"/>
  <c r="G79" i="1"/>
  <c r="B80" i="1"/>
  <c r="C80" i="1"/>
  <c r="G80" i="1"/>
  <c r="B81" i="1"/>
  <c r="C81" i="1"/>
  <c r="G81" i="1"/>
  <c r="B82" i="1"/>
  <c r="C82" i="1"/>
  <c r="G82" i="1"/>
  <c r="B83" i="1"/>
  <c r="C83" i="1"/>
  <c r="G83" i="1"/>
  <c r="B84" i="1"/>
  <c r="C84" i="1"/>
  <c r="G84" i="1"/>
  <c r="B85" i="1"/>
  <c r="C85" i="1"/>
  <c r="G85" i="1"/>
  <c r="B86" i="1"/>
  <c r="C86" i="1"/>
  <c r="G86" i="1"/>
  <c r="B87" i="1"/>
  <c r="C87" i="1"/>
  <c r="G87" i="1"/>
  <c r="B88" i="1"/>
  <c r="C88" i="1"/>
  <c r="G88" i="1"/>
  <c r="B89" i="1"/>
  <c r="C89" i="1"/>
  <c r="G89" i="1"/>
  <c r="B90" i="1"/>
  <c r="C90" i="1"/>
  <c r="G90" i="1"/>
  <c r="B91" i="1"/>
  <c r="C91" i="1"/>
  <c r="G91" i="1"/>
  <c r="B92" i="1"/>
  <c r="C92" i="1"/>
  <c r="G92" i="1"/>
  <c r="B93" i="1"/>
  <c r="C93" i="1"/>
  <c r="G93" i="1"/>
  <c r="B94" i="1"/>
  <c r="C94" i="1"/>
  <c r="G94" i="1"/>
  <c r="B95" i="1"/>
  <c r="C95" i="1"/>
  <c r="G95" i="1"/>
  <c r="B96" i="1"/>
  <c r="C96" i="1"/>
  <c r="G96" i="1"/>
  <c r="B97" i="1"/>
  <c r="C97" i="1"/>
  <c r="G97" i="1"/>
  <c r="B98" i="1"/>
  <c r="C98" i="1"/>
  <c r="G98" i="1"/>
  <c r="B99" i="1"/>
  <c r="C99" i="1"/>
  <c r="G99" i="1"/>
  <c r="B100" i="1"/>
  <c r="C100" i="1"/>
  <c r="G100" i="1"/>
  <c r="B101" i="1"/>
  <c r="C101" i="1"/>
  <c r="G101" i="1"/>
  <c r="B102" i="1"/>
  <c r="C102" i="1"/>
  <c r="G102" i="1"/>
  <c r="B103" i="1"/>
  <c r="C103" i="1"/>
  <c r="G103" i="1"/>
  <c r="B104" i="1"/>
  <c r="C104" i="1"/>
  <c r="G104" i="1"/>
  <c r="B105" i="1"/>
  <c r="C105" i="1"/>
  <c r="G105" i="1"/>
  <c r="B106" i="1"/>
  <c r="C106" i="1"/>
  <c r="G106" i="1"/>
  <c r="B107" i="1"/>
  <c r="C107" i="1"/>
  <c r="G107" i="1"/>
  <c r="B108" i="1"/>
  <c r="C108" i="1"/>
  <c r="G108" i="1"/>
  <c r="B109" i="1"/>
  <c r="C109" i="1"/>
  <c r="G109" i="1"/>
  <c r="B110" i="1"/>
  <c r="C110" i="1"/>
  <c r="G110" i="1"/>
  <c r="B111" i="1"/>
  <c r="C111" i="1"/>
  <c r="G111" i="1"/>
  <c r="B112" i="1"/>
  <c r="C112" i="1"/>
  <c r="G112" i="1"/>
  <c r="B113" i="1"/>
  <c r="C113" i="1"/>
  <c r="G113" i="1"/>
  <c r="B114" i="1"/>
  <c r="C114" i="1"/>
  <c r="G114" i="1"/>
  <c r="B115" i="1"/>
  <c r="C115" i="1"/>
  <c r="G115" i="1"/>
  <c r="B116" i="1"/>
  <c r="C116" i="1"/>
  <c r="G116" i="1"/>
  <c r="B117" i="1"/>
  <c r="C117" i="1"/>
  <c r="G117" i="1"/>
  <c r="B118" i="1"/>
  <c r="C118" i="1"/>
  <c r="G118" i="1"/>
  <c r="B119" i="1"/>
  <c r="C119" i="1"/>
  <c r="G119" i="1"/>
  <c r="B120" i="1"/>
  <c r="C120" i="1"/>
  <c r="G120" i="1"/>
  <c r="B121" i="1"/>
  <c r="C121" i="1"/>
  <c r="G121" i="1"/>
  <c r="B122" i="1"/>
  <c r="C122" i="1"/>
  <c r="G122" i="1"/>
  <c r="B123" i="1"/>
  <c r="C123" i="1"/>
  <c r="G123" i="1"/>
  <c r="B124" i="1"/>
  <c r="C124" i="1"/>
  <c r="G124" i="1"/>
  <c r="B125" i="1"/>
  <c r="C125" i="1"/>
  <c r="G125" i="1"/>
  <c r="B126" i="1"/>
  <c r="C126" i="1"/>
  <c r="G126" i="1"/>
  <c r="B127" i="1"/>
  <c r="C127" i="1"/>
  <c r="G127" i="1"/>
  <c r="B128" i="1"/>
  <c r="C128" i="1"/>
  <c r="G128" i="1"/>
  <c r="B129" i="1"/>
  <c r="C129" i="1"/>
  <c r="G129" i="1"/>
  <c r="B130" i="1"/>
  <c r="C130" i="1"/>
  <c r="G130" i="1"/>
  <c r="B131" i="1"/>
  <c r="C131" i="1"/>
  <c r="G131" i="1"/>
  <c r="B132" i="1"/>
  <c r="C132" i="1"/>
  <c r="G132" i="1"/>
  <c r="B133" i="1"/>
  <c r="C133" i="1"/>
  <c r="G133" i="1"/>
  <c r="B134" i="1"/>
  <c r="C134" i="1"/>
  <c r="G134" i="1"/>
  <c r="B135" i="1"/>
  <c r="C135" i="1"/>
  <c r="G135" i="1"/>
  <c r="B136" i="1"/>
  <c r="C136" i="1"/>
  <c r="G136" i="1"/>
  <c r="B137" i="1"/>
  <c r="C137" i="1"/>
  <c r="G137" i="1"/>
  <c r="B138" i="1"/>
  <c r="C138" i="1"/>
  <c r="G138" i="1"/>
  <c r="B139" i="1"/>
  <c r="C139" i="1"/>
  <c r="G139" i="1"/>
  <c r="B140" i="1"/>
  <c r="C140" i="1"/>
  <c r="G140" i="1"/>
  <c r="B141" i="1"/>
  <c r="C141" i="1"/>
  <c r="G141" i="1"/>
  <c r="B142" i="1"/>
  <c r="C142" i="1"/>
  <c r="G142" i="1"/>
  <c r="B143" i="1"/>
  <c r="C143" i="1"/>
  <c r="G143" i="1"/>
  <c r="B144" i="1"/>
  <c r="C144" i="1"/>
  <c r="G144" i="1"/>
  <c r="B145" i="1"/>
  <c r="C145" i="1"/>
  <c r="G145" i="1"/>
  <c r="B146" i="1"/>
  <c r="C146" i="1"/>
  <c r="G146" i="1"/>
  <c r="B147" i="1"/>
  <c r="C147" i="1"/>
  <c r="G147" i="1"/>
  <c r="B148" i="1"/>
  <c r="C148" i="1"/>
  <c r="G148" i="1"/>
  <c r="B149" i="1"/>
  <c r="C149" i="1"/>
  <c r="G149" i="1"/>
  <c r="B150" i="1"/>
  <c r="C150" i="1"/>
  <c r="G150" i="1"/>
  <c r="B151" i="1"/>
  <c r="C151" i="1"/>
  <c r="G151" i="1"/>
  <c r="B152" i="1"/>
  <c r="C152" i="1"/>
  <c r="G152" i="1"/>
  <c r="B153" i="1"/>
  <c r="C153" i="1"/>
  <c r="G153" i="1"/>
  <c r="B154" i="1"/>
  <c r="C154" i="1"/>
  <c r="G154" i="1"/>
  <c r="B155" i="1"/>
  <c r="C155" i="1"/>
  <c r="G155" i="1"/>
  <c r="B156" i="1"/>
  <c r="C156" i="1"/>
  <c r="G156" i="1"/>
  <c r="B157" i="1"/>
  <c r="C157" i="1"/>
  <c r="G157" i="1"/>
  <c r="B158" i="1"/>
  <c r="C158" i="1"/>
  <c r="G158" i="1"/>
  <c r="B159" i="1"/>
  <c r="C159" i="1"/>
  <c r="G159" i="1"/>
  <c r="B160" i="1"/>
  <c r="C160" i="1"/>
  <c r="G160" i="1"/>
  <c r="B161" i="1"/>
  <c r="C161" i="1"/>
  <c r="G161" i="1"/>
  <c r="B162" i="1"/>
  <c r="C162" i="1"/>
  <c r="G162" i="1"/>
  <c r="B163" i="1"/>
  <c r="C163" i="1"/>
  <c r="G163" i="1"/>
  <c r="B164" i="1"/>
  <c r="C164" i="1"/>
  <c r="G164" i="1"/>
  <c r="B165" i="1"/>
  <c r="C165" i="1"/>
  <c r="G165" i="1"/>
  <c r="B166" i="1"/>
  <c r="C166" i="1"/>
  <c r="G166" i="1"/>
  <c r="B167" i="1"/>
  <c r="C167" i="1"/>
  <c r="G167" i="1"/>
  <c r="B168" i="1"/>
  <c r="C168" i="1"/>
  <c r="G168" i="1"/>
  <c r="B169" i="1"/>
  <c r="C169" i="1"/>
  <c r="G169" i="1"/>
  <c r="B170" i="1"/>
  <c r="C170" i="1"/>
  <c r="G170" i="1"/>
  <c r="B171" i="1"/>
  <c r="C171" i="1"/>
  <c r="G171" i="1"/>
  <c r="B172" i="1"/>
  <c r="C172" i="1"/>
  <c r="G172" i="1"/>
  <c r="B173" i="1"/>
  <c r="C173" i="1"/>
  <c r="G173" i="1"/>
  <c r="B174" i="1"/>
  <c r="C174" i="1"/>
  <c r="G174" i="1"/>
  <c r="B175" i="1"/>
  <c r="C175" i="1"/>
  <c r="G175" i="1"/>
  <c r="B176" i="1"/>
  <c r="C176" i="1"/>
  <c r="G176" i="1"/>
  <c r="B177" i="1"/>
  <c r="C177" i="1"/>
  <c r="G177" i="1"/>
  <c r="B178" i="1"/>
  <c r="C178" i="1"/>
  <c r="G178" i="1"/>
  <c r="B179" i="1"/>
  <c r="C179" i="1"/>
  <c r="G179" i="1"/>
  <c r="B180" i="1"/>
  <c r="C180" i="1"/>
  <c r="G180" i="1"/>
  <c r="B181" i="1"/>
  <c r="C181" i="1"/>
  <c r="G181" i="1"/>
  <c r="B182" i="1"/>
  <c r="C182" i="1"/>
  <c r="G182" i="1"/>
  <c r="B183" i="1"/>
  <c r="C183" i="1"/>
  <c r="G183" i="1"/>
  <c r="B184" i="1"/>
  <c r="C184" i="1"/>
  <c r="G184" i="1"/>
  <c r="B185" i="1"/>
  <c r="C185" i="1"/>
  <c r="G185" i="1"/>
  <c r="B186" i="1"/>
  <c r="C186" i="1"/>
  <c r="G186" i="1"/>
  <c r="B187" i="1"/>
  <c r="C187" i="1"/>
  <c r="G187" i="1"/>
  <c r="B188" i="1"/>
  <c r="C188" i="1"/>
  <c r="G188" i="1"/>
  <c r="B189" i="1"/>
  <c r="C189" i="1"/>
  <c r="G189" i="1"/>
  <c r="B190" i="1"/>
  <c r="C190" i="1"/>
  <c r="G190" i="1"/>
  <c r="B191" i="1"/>
  <c r="C191" i="1"/>
  <c r="G191" i="1"/>
  <c r="B192" i="1"/>
  <c r="C192" i="1"/>
  <c r="G192" i="1"/>
  <c r="B193" i="1"/>
  <c r="C193" i="1"/>
  <c r="G193" i="1"/>
  <c r="B194" i="1"/>
  <c r="C194" i="1"/>
  <c r="G194" i="1"/>
  <c r="B195" i="1"/>
  <c r="C195" i="1"/>
  <c r="G195" i="1"/>
  <c r="B196" i="1"/>
  <c r="C196" i="1"/>
  <c r="G196" i="1"/>
  <c r="B197" i="1"/>
  <c r="C197" i="1"/>
  <c r="G197" i="1"/>
  <c r="B198" i="1"/>
  <c r="C198" i="1"/>
  <c r="G198" i="1"/>
  <c r="B199" i="1"/>
  <c r="C199" i="1"/>
  <c r="G199" i="1"/>
  <c r="B200" i="1"/>
  <c r="C200" i="1"/>
  <c r="G200" i="1"/>
  <c r="B201" i="1"/>
  <c r="C201" i="1"/>
  <c r="G201" i="1"/>
  <c r="B202" i="1"/>
  <c r="C202" i="1"/>
  <c r="G202" i="1"/>
  <c r="B203" i="1"/>
  <c r="C203" i="1"/>
  <c r="G203" i="1"/>
  <c r="B204" i="1"/>
  <c r="C204" i="1"/>
  <c r="G204" i="1"/>
  <c r="B205" i="1"/>
  <c r="C205" i="1"/>
  <c r="G205" i="1"/>
  <c r="B206" i="1"/>
  <c r="C206" i="1"/>
  <c r="G206" i="1"/>
  <c r="B207" i="1"/>
  <c r="C207" i="1"/>
  <c r="G207" i="1"/>
  <c r="B208" i="1"/>
  <c r="C208" i="1"/>
  <c r="G208" i="1"/>
  <c r="B209" i="1"/>
  <c r="C209" i="1"/>
  <c r="G209" i="1"/>
  <c r="B210" i="1"/>
  <c r="C210" i="1"/>
  <c r="G210" i="1"/>
  <c r="B211" i="1"/>
  <c r="C211" i="1"/>
  <c r="G211" i="1"/>
  <c r="B212" i="1"/>
  <c r="C212" i="1"/>
  <c r="G212" i="1"/>
  <c r="B213" i="1"/>
  <c r="C213" i="1"/>
  <c r="G213" i="1"/>
  <c r="B214" i="1"/>
  <c r="C214" i="1"/>
  <c r="G214" i="1"/>
  <c r="B215" i="1"/>
  <c r="C215" i="1"/>
  <c r="G215" i="1"/>
  <c r="B216" i="1"/>
  <c r="C216" i="1"/>
  <c r="G216" i="1"/>
  <c r="B217" i="1"/>
  <c r="C217" i="1"/>
  <c r="G217" i="1"/>
  <c r="B218" i="1"/>
  <c r="C218" i="1"/>
  <c r="G218" i="1"/>
  <c r="B219" i="1"/>
  <c r="C219" i="1"/>
  <c r="G219" i="1"/>
  <c r="B220" i="1"/>
  <c r="C220" i="1"/>
  <c r="G220" i="1"/>
  <c r="B221" i="1"/>
  <c r="C221" i="1"/>
  <c r="G221" i="1"/>
  <c r="B222" i="1"/>
  <c r="C222" i="1"/>
  <c r="G222" i="1"/>
  <c r="B223" i="1"/>
  <c r="C223" i="1"/>
  <c r="G223" i="1"/>
  <c r="B224" i="1"/>
  <c r="C224" i="1"/>
  <c r="G224" i="1"/>
  <c r="B225" i="1"/>
  <c r="C225" i="1"/>
  <c r="G225" i="1"/>
  <c r="B226" i="1"/>
  <c r="C226" i="1"/>
  <c r="G226" i="1"/>
  <c r="B227" i="1"/>
  <c r="C227" i="1"/>
  <c r="G227" i="1"/>
  <c r="B228" i="1"/>
  <c r="C228" i="1"/>
  <c r="G228" i="1"/>
  <c r="B229" i="1"/>
  <c r="C229" i="1"/>
  <c r="G229" i="1"/>
  <c r="B230" i="1"/>
  <c r="C230" i="1"/>
  <c r="G230" i="1"/>
  <c r="B231" i="1"/>
  <c r="C231" i="1"/>
  <c r="G231" i="1"/>
  <c r="B232" i="1"/>
  <c r="C232" i="1"/>
  <c r="G232" i="1"/>
  <c r="B233" i="1"/>
  <c r="C233" i="1"/>
  <c r="G233" i="1"/>
  <c r="B234" i="1"/>
  <c r="C234" i="1"/>
  <c r="G234" i="1"/>
  <c r="B235" i="1"/>
  <c r="C235" i="1"/>
  <c r="G235" i="1"/>
  <c r="B236" i="1"/>
  <c r="C236" i="1"/>
  <c r="G236" i="1"/>
  <c r="B237" i="1"/>
  <c r="C237" i="1"/>
  <c r="G237" i="1"/>
  <c r="B238" i="1"/>
  <c r="C238" i="1"/>
  <c r="G238" i="1"/>
  <c r="B239" i="1"/>
  <c r="C239" i="1"/>
  <c r="G239" i="1"/>
  <c r="B240" i="1"/>
  <c r="C240" i="1"/>
  <c r="G240" i="1"/>
  <c r="B241" i="1"/>
  <c r="C241" i="1"/>
  <c r="G241" i="1"/>
  <c r="B242" i="1"/>
  <c r="C242" i="1"/>
  <c r="G242" i="1"/>
  <c r="B243" i="1"/>
  <c r="C243" i="1"/>
  <c r="G243" i="1"/>
  <c r="B244" i="1"/>
  <c r="C244" i="1"/>
  <c r="G244" i="1"/>
  <c r="B245" i="1"/>
  <c r="C245" i="1"/>
  <c r="G245" i="1"/>
  <c r="B246" i="1"/>
  <c r="C246" i="1"/>
  <c r="G246" i="1"/>
  <c r="B247" i="1"/>
  <c r="C247" i="1"/>
  <c r="G247" i="1"/>
  <c r="B248" i="1"/>
  <c r="C248" i="1"/>
  <c r="G248" i="1"/>
  <c r="B249" i="1"/>
  <c r="C249" i="1"/>
  <c r="G249" i="1"/>
  <c r="B250" i="1"/>
  <c r="C250" i="1"/>
  <c r="G250" i="1"/>
  <c r="B251" i="1"/>
  <c r="C251" i="1"/>
  <c r="G251" i="1"/>
  <c r="Y28" i="1"/>
  <c r="X28" i="1"/>
  <c r="W28" i="1"/>
  <c r="V28" i="1"/>
  <c r="U28" i="1"/>
  <c r="T28" i="1"/>
  <c r="S28" i="1"/>
  <c r="R28" i="1"/>
  <c r="Z13" i="1"/>
  <c r="Z14" i="1"/>
  <c r="Z15" i="1"/>
  <c r="Z16" i="1"/>
  <c r="Z17" i="1"/>
  <c r="Z18" i="1"/>
  <c r="Z19" i="1"/>
  <c r="Z20" i="1"/>
  <c r="Z21" i="1"/>
  <c r="Z22" i="1"/>
  <c r="Y38" i="1"/>
  <c r="X38" i="1"/>
  <c r="W38" i="1"/>
  <c r="V38" i="1"/>
  <c r="U38" i="1"/>
  <c r="T38" i="1"/>
  <c r="S38" i="1"/>
  <c r="R38" i="1"/>
  <c r="Y37" i="1"/>
  <c r="X37" i="1"/>
  <c r="W37" i="1"/>
  <c r="V37" i="1"/>
  <c r="U37" i="1"/>
  <c r="T37" i="1"/>
  <c r="S37" i="1"/>
  <c r="R37" i="1"/>
  <c r="Y36" i="1"/>
  <c r="X36" i="1"/>
  <c r="W36" i="1"/>
  <c r="V36" i="1"/>
  <c r="U36" i="1"/>
  <c r="T36" i="1"/>
  <c r="S36" i="1"/>
  <c r="R36" i="1"/>
  <c r="Y35" i="1"/>
  <c r="X35" i="1"/>
  <c r="W35" i="1"/>
  <c r="V35" i="1"/>
  <c r="U35" i="1"/>
  <c r="T35" i="1"/>
  <c r="S35" i="1"/>
  <c r="R35" i="1"/>
  <c r="Y34" i="1"/>
  <c r="X34" i="1"/>
  <c r="W34" i="1"/>
  <c r="V34" i="1"/>
  <c r="U34" i="1"/>
  <c r="T34" i="1"/>
  <c r="S34" i="1"/>
  <c r="R34" i="1"/>
  <c r="Y33" i="1"/>
  <c r="X33" i="1"/>
  <c r="W33" i="1"/>
  <c r="V33" i="1"/>
  <c r="U33" i="1"/>
  <c r="T33" i="1"/>
  <c r="S33" i="1"/>
  <c r="R33" i="1"/>
  <c r="Y32" i="1"/>
  <c r="X32" i="1"/>
  <c r="W32" i="1"/>
  <c r="V32" i="1"/>
  <c r="U32" i="1"/>
  <c r="T32" i="1"/>
  <c r="S32" i="1"/>
  <c r="R32" i="1"/>
  <c r="Y31" i="1"/>
  <c r="X31" i="1"/>
  <c r="W31" i="1"/>
  <c r="V31" i="1"/>
  <c r="U31" i="1"/>
  <c r="T31" i="1"/>
  <c r="S31" i="1"/>
  <c r="R31" i="1"/>
  <c r="Y30" i="1"/>
  <c r="X30" i="1"/>
  <c r="W30" i="1"/>
  <c r="V30" i="1"/>
  <c r="U30" i="1"/>
  <c r="T30" i="1"/>
  <c r="S30" i="1"/>
  <c r="R30" i="1"/>
  <c r="Y29" i="1"/>
  <c r="X29" i="1"/>
  <c r="W29" i="1"/>
  <c r="V29" i="1"/>
  <c r="U29" i="1"/>
  <c r="T29" i="1"/>
  <c r="S29" i="1"/>
  <c r="R29" i="1"/>
  <c r="Q38" i="1"/>
  <c r="Q37" i="1"/>
  <c r="Q36" i="1"/>
  <c r="Q35" i="1"/>
  <c r="Q34" i="1"/>
  <c r="Q33" i="1"/>
  <c r="Q32" i="1"/>
  <c r="Q31" i="1"/>
  <c r="Q30" i="1"/>
  <c r="Q29" i="1"/>
  <c r="B8" i="2"/>
  <c r="F252" i="2"/>
  <c r="H252" i="2"/>
  <c r="F251" i="2"/>
  <c r="H251" i="2"/>
  <c r="F250" i="2"/>
  <c r="H250" i="2"/>
  <c r="F249" i="2"/>
  <c r="H249" i="2"/>
  <c r="F248" i="2"/>
  <c r="H248" i="2"/>
  <c r="F247" i="2"/>
  <c r="H247" i="2"/>
  <c r="F246" i="2"/>
  <c r="H246" i="2"/>
  <c r="F245" i="2"/>
  <c r="H245" i="2"/>
  <c r="F244" i="2"/>
  <c r="H244" i="2"/>
  <c r="F243" i="2"/>
  <c r="H243" i="2"/>
  <c r="F242" i="2"/>
  <c r="H242" i="2"/>
  <c r="F241" i="2"/>
  <c r="H241" i="2"/>
  <c r="F240" i="2"/>
  <c r="H240" i="2"/>
  <c r="F239" i="2"/>
  <c r="H239" i="2"/>
  <c r="F238" i="2"/>
  <c r="H238" i="2"/>
  <c r="F237" i="2"/>
  <c r="H237" i="2"/>
  <c r="F236" i="2"/>
  <c r="H236" i="2"/>
  <c r="F235" i="2"/>
  <c r="H235" i="2"/>
  <c r="F234" i="2"/>
  <c r="H234" i="2"/>
  <c r="F233" i="2"/>
  <c r="H233" i="2"/>
  <c r="F232" i="2"/>
  <c r="H232" i="2"/>
  <c r="F231" i="2"/>
  <c r="H231" i="2"/>
  <c r="F230" i="2"/>
  <c r="H230" i="2"/>
  <c r="F229" i="2"/>
  <c r="H229" i="2"/>
  <c r="F228" i="2"/>
  <c r="H228" i="2"/>
  <c r="F227" i="2"/>
  <c r="H227" i="2"/>
  <c r="F226" i="2"/>
  <c r="H226" i="2"/>
  <c r="F225" i="2"/>
  <c r="H225" i="2"/>
  <c r="F224" i="2"/>
  <c r="H224" i="2"/>
  <c r="F223" i="2"/>
  <c r="H223" i="2"/>
  <c r="F222" i="2"/>
  <c r="H222" i="2"/>
  <c r="F221" i="2"/>
  <c r="H221" i="2"/>
  <c r="F220" i="2"/>
  <c r="H220" i="2"/>
  <c r="F219" i="2"/>
  <c r="H219" i="2"/>
  <c r="F218" i="2"/>
  <c r="H218" i="2"/>
  <c r="F217" i="2"/>
  <c r="H217" i="2"/>
  <c r="F216" i="2"/>
  <c r="H216" i="2"/>
  <c r="F215" i="2"/>
  <c r="H215" i="2"/>
  <c r="F214" i="2"/>
  <c r="H214" i="2"/>
  <c r="F213" i="2"/>
  <c r="H213" i="2"/>
  <c r="F212" i="2"/>
  <c r="H212" i="2"/>
  <c r="F211" i="2"/>
  <c r="H211" i="2"/>
  <c r="F210" i="2"/>
  <c r="H210" i="2"/>
  <c r="F209" i="2"/>
  <c r="H209" i="2"/>
  <c r="F208" i="2"/>
  <c r="H208" i="2"/>
  <c r="F207" i="2"/>
  <c r="H207" i="2"/>
  <c r="F206" i="2"/>
  <c r="H206" i="2"/>
  <c r="F205" i="2"/>
  <c r="H205" i="2"/>
  <c r="F204" i="2"/>
  <c r="H204" i="2"/>
  <c r="F203" i="2"/>
  <c r="H203" i="2"/>
  <c r="F202" i="2"/>
  <c r="H202" i="2"/>
  <c r="F201" i="2"/>
  <c r="H201" i="2"/>
  <c r="F200" i="2"/>
  <c r="H200" i="2"/>
  <c r="F199" i="2"/>
  <c r="H199" i="2"/>
  <c r="F198" i="2"/>
  <c r="H198" i="2"/>
  <c r="F197" i="2"/>
  <c r="H197" i="2"/>
  <c r="F196" i="2"/>
  <c r="H196" i="2"/>
  <c r="F195" i="2"/>
  <c r="H195" i="2"/>
  <c r="F194" i="2"/>
  <c r="H194" i="2"/>
  <c r="F193" i="2"/>
  <c r="H193" i="2"/>
  <c r="F192" i="2"/>
  <c r="H192" i="2"/>
  <c r="F191" i="2"/>
  <c r="H191" i="2"/>
  <c r="F190" i="2"/>
  <c r="H190" i="2"/>
  <c r="F189" i="2"/>
  <c r="H189" i="2"/>
  <c r="F188" i="2"/>
  <c r="H188" i="2"/>
  <c r="F187" i="2"/>
  <c r="H187" i="2"/>
  <c r="F186" i="2"/>
  <c r="H186" i="2"/>
  <c r="F185" i="2"/>
  <c r="H185" i="2"/>
  <c r="F184" i="2"/>
  <c r="H184" i="2"/>
  <c r="F183" i="2"/>
  <c r="H183" i="2"/>
  <c r="F182" i="2"/>
  <c r="H182" i="2"/>
  <c r="F181" i="2"/>
  <c r="H181" i="2"/>
  <c r="F180" i="2"/>
  <c r="H180" i="2"/>
  <c r="F179" i="2"/>
  <c r="H179" i="2"/>
  <c r="F178" i="2"/>
  <c r="H178" i="2"/>
  <c r="F177" i="2"/>
  <c r="H177" i="2"/>
  <c r="F176" i="2"/>
  <c r="H176" i="2"/>
  <c r="F175" i="2"/>
  <c r="H175" i="2"/>
  <c r="F174" i="2"/>
  <c r="H174" i="2"/>
  <c r="F173" i="2"/>
  <c r="H173" i="2"/>
  <c r="F172" i="2"/>
  <c r="H172" i="2"/>
  <c r="F171" i="2"/>
  <c r="H171" i="2"/>
  <c r="F170" i="2"/>
  <c r="H170" i="2"/>
  <c r="F169" i="2"/>
  <c r="H169" i="2"/>
  <c r="F168" i="2"/>
  <c r="H168" i="2"/>
  <c r="F167" i="2"/>
  <c r="H167" i="2"/>
  <c r="F166" i="2"/>
  <c r="H166" i="2"/>
  <c r="F165" i="2"/>
  <c r="H165" i="2"/>
  <c r="F164" i="2"/>
  <c r="H164" i="2"/>
  <c r="F163" i="2"/>
  <c r="H163" i="2"/>
  <c r="F162" i="2"/>
  <c r="H162" i="2"/>
  <c r="F161" i="2"/>
  <c r="H161" i="2"/>
  <c r="F160" i="2"/>
  <c r="H160" i="2"/>
  <c r="F159" i="2"/>
  <c r="H159" i="2"/>
  <c r="F158" i="2"/>
  <c r="H158" i="2"/>
  <c r="F157" i="2"/>
  <c r="H157" i="2"/>
  <c r="F156" i="2"/>
  <c r="H156" i="2"/>
  <c r="F155" i="2"/>
  <c r="H155" i="2"/>
  <c r="F154" i="2"/>
  <c r="H154" i="2"/>
  <c r="F153" i="2"/>
  <c r="H153" i="2"/>
  <c r="F152" i="2"/>
  <c r="H152" i="2"/>
  <c r="F151" i="2"/>
  <c r="H151" i="2"/>
  <c r="F150" i="2"/>
  <c r="H150" i="2"/>
  <c r="F149" i="2"/>
  <c r="H149" i="2"/>
  <c r="F148" i="2"/>
  <c r="H148" i="2"/>
  <c r="F147" i="2"/>
  <c r="H147" i="2"/>
  <c r="F146" i="2"/>
  <c r="H146" i="2"/>
  <c r="F145" i="2"/>
  <c r="H145" i="2"/>
  <c r="F144" i="2"/>
  <c r="H144" i="2"/>
  <c r="F143" i="2"/>
  <c r="H143" i="2"/>
  <c r="F142" i="2"/>
  <c r="H142" i="2"/>
  <c r="F141" i="2"/>
  <c r="H141" i="2"/>
  <c r="F140" i="2"/>
  <c r="H140" i="2"/>
  <c r="F139" i="2"/>
  <c r="H139" i="2"/>
  <c r="F138" i="2"/>
  <c r="H138" i="2"/>
  <c r="F137" i="2"/>
  <c r="H137" i="2"/>
  <c r="F136" i="2"/>
  <c r="H136" i="2"/>
  <c r="F135" i="2"/>
  <c r="H135" i="2"/>
  <c r="F134" i="2"/>
  <c r="H134" i="2"/>
  <c r="F133" i="2"/>
  <c r="H133" i="2"/>
  <c r="F132" i="2"/>
  <c r="H132" i="2"/>
  <c r="F131" i="2"/>
  <c r="H131" i="2"/>
  <c r="F130" i="2"/>
  <c r="H130" i="2"/>
  <c r="F129" i="2"/>
  <c r="H129" i="2"/>
  <c r="F128" i="2"/>
  <c r="H128" i="2"/>
  <c r="F127" i="2"/>
  <c r="H127" i="2"/>
  <c r="F126" i="2"/>
  <c r="H126" i="2"/>
  <c r="F125" i="2"/>
  <c r="H125" i="2"/>
  <c r="F124" i="2"/>
  <c r="H124" i="2"/>
  <c r="F123" i="2"/>
  <c r="H123" i="2"/>
  <c r="F122" i="2"/>
  <c r="H122" i="2"/>
  <c r="F121" i="2"/>
  <c r="H121" i="2"/>
  <c r="F120" i="2"/>
  <c r="H120" i="2"/>
  <c r="F119" i="2"/>
  <c r="H119" i="2"/>
  <c r="F118" i="2"/>
  <c r="H118" i="2"/>
  <c r="F117" i="2"/>
  <c r="H117" i="2"/>
  <c r="F116" i="2"/>
  <c r="H116" i="2"/>
  <c r="F115" i="2"/>
  <c r="H115" i="2"/>
  <c r="F114" i="2"/>
  <c r="H114" i="2"/>
  <c r="F113" i="2"/>
  <c r="H113" i="2"/>
  <c r="F112" i="2"/>
  <c r="H112" i="2"/>
  <c r="F111" i="2"/>
  <c r="H111" i="2"/>
  <c r="F110" i="2"/>
  <c r="H110" i="2"/>
  <c r="F109" i="2"/>
  <c r="H109" i="2"/>
  <c r="F108" i="2"/>
  <c r="H108" i="2"/>
  <c r="F107" i="2"/>
  <c r="H107" i="2"/>
  <c r="F106" i="2"/>
  <c r="H106" i="2"/>
  <c r="F105" i="2"/>
  <c r="H105" i="2"/>
  <c r="F104" i="2"/>
  <c r="H104" i="2"/>
  <c r="F103" i="2"/>
  <c r="H103" i="2"/>
  <c r="F102" i="2"/>
  <c r="H102" i="2"/>
  <c r="F101" i="2"/>
  <c r="H101" i="2"/>
  <c r="F100" i="2"/>
  <c r="H100" i="2"/>
  <c r="F99" i="2"/>
  <c r="H99" i="2"/>
  <c r="F98" i="2"/>
  <c r="H98" i="2"/>
  <c r="F97" i="2"/>
  <c r="H97" i="2"/>
  <c r="F96" i="2"/>
  <c r="H96" i="2"/>
  <c r="F95" i="2"/>
  <c r="H95" i="2"/>
  <c r="F94" i="2"/>
  <c r="H94" i="2"/>
  <c r="F93" i="2"/>
  <c r="H93" i="2"/>
  <c r="F92" i="2"/>
  <c r="H92" i="2"/>
  <c r="F91" i="2"/>
  <c r="H91" i="2"/>
  <c r="F90" i="2"/>
  <c r="H90" i="2"/>
  <c r="F89" i="2"/>
  <c r="H89" i="2"/>
  <c r="F88" i="2"/>
  <c r="H88" i="2"/>
  <c r="F87" i="2"/>
  <c r="H87" i="2"/>
  <c r="F86" i="2"/>
  <c r="H86" i="2"/>
  <c r="F85" i="2"/>
  <c r="H85" i="2"/>
  <c r="F84" i="2"/>
  <c r="H84" i="2"/>
  <c r="F83" i="2"/>
  <c r="H83" i="2"/>
  <c r="F82" i="2"/>
  <c r="H82" i="2"/>
  <c r="F81" i="2"/>
  <c r="H81" i="2"/>
  <c r="F80" i="2"/>
  <c r="H80" i="2"/>
  <c r="F79" i="2"/>
  <c r="H79" i="2"/>
  <c r="F78" i="2"/>
  <c r="H78" i="2"/>
  <c r="F77" i="2"/>
  <c r="H77" i="2"/>
  <c r="F76" i="2"/>
  <c r="H76" i="2"/>
  <c r="F75" i="2"/>
  <c r="H75" i="2"/>
  <c r="F74" i="2"/>
  <c r="H74" i="2"/>
  <c r="F73" i="2"/>
  <c r="H73" i="2"/>
  <c r="F72" i="2"/>
  <c r="H72" i="2"/>
  <c r="F71" i="2"/>
  <c r="H71" i="2"/>
  <c r="F70" i="2"/>
  <c r="H70" i="2"/>
  <c r="F69" i="2"/>
  <c r="H69" i="2"/>
  <c r="F68" i="2"/>
  <c r="H68" i="2"/>
  <c r="F67" i="2"/>
  <c r="H67" i="2"/>
  <c r="F66" i="2"/>
  <c r="H66" i="2"/>
  <c r="F65" i="2"/>
  <c r="H65" i="2"/>
  <c r="F64" i="2"/>
  <c r="H64" i="2"/>
  <c r="F63" i="2"/>
  <c r="H63" i="2"/>
  <c r="F62" i="2"/>
  <c r="H62" i="2"/>
  <c r="F61" i="2"/>
  <c r="H61" i="2"/>
  <c r="F60" i="2"/>
  <c r="H60" i="2"/>
  <c r="F59" i="2"/>
  <c r="H59" i="2"/>
  <c r="F58" i="2"/>
  <c r="H58" i="2"/>
  <c r="F57" i="2"/>
  <c r="H57" i="2"/>
  <c r="F56" i="2"/>
  <c r="H56" i="2"/>
  <c r="F55" i="2"/>
  <c r="H55" i="2"/>
  <c r="F54" i="2"/>
  <c r="H54" i="2"/>
  <c r="F53" i="2"/>
  <c r="H53" i="2"/>
  <c r="F52" i="2"/>
  <c r="H52" i="2"/>
  <c r="F51" i="2"/>
  <c r="H51" i="2"/>
  <c r="F50" i="2"/>
  <c r="H50" i="2"/>
  <c r="F49" i="2"/>
  <c r="H49" i="2"/>
  <c r="F48" i="2"/>
  <c r="H48" i="2"/>
  <c r="F47" i="2"/>
  <c r="H47" i="2"/>
  <c r="F46" i="2"/>
  <c r="H46" i="2"/>
  <c r="F45" i="2"/>
  <c r="H45" i="2"/>
  <c r="F44" i="2"/>
  <c r="H44" i="2"/>
  <c r="F43" i="2"/>
  <c r="H43" i="2"/>
  <c r="F42" i="2"/>
  <c r="H42" i="2"/>
  <c r="F41" i="2"/>
  <c r="H41" i="2"/>
  <c r="F40" i="2"/>
  <c r="H40" i="2"/>
  <c r="F39" i="2"/>
  <c r="H39" i="2"/>
  <c r="F38" i="2"/>
  <c r="H38" i="2"/>
  <c r="F37" i="2"/>
  <c r="H37" i="2"/>
  <c r="F36" i="2"/>
  <c r="H36" i="2"/>
  <c r="F35" i="2"/>
  <c r="H35" i="2"/>
  <c r="F34" i="2"/>
  <c r="H34" i="2"/>
  <c r="F33" i="2"/>
  <c r="H33" i="2"/>
  <c r="F32" i="2"/>
  <c r="H32" i="2"/>
  <c r="F31" i="2"/>
  <c r="H31" i="2"/>
  <c r="F30" i="2"/>
  <c r="H30" i="2"/>
  <c r="F29" i="2"/>
  <c r="H29" i="2"/>
  <c r="F28" i="2"/>
  <c r="H28" i="2"/>
  <c r="F27" i="2"/>
  <c r="H27" i="2"/>
  <c r="F26" i="2"/>
  <c r="H26" i="2"/>
  <c r="F25" i="2"/>
  <c r="H25" i="2"/>
  <c r="F24" i="2"/>
  <c r="H24" i="2"/>
  <c r="F23" i="2"/>
  <c r="H23" i="2"/>
  <c r="F22" i="2"/>
  <c r="H22" i="2"/>
  <c r="F21" i="2"/>
  <c r="H21" i="2"/>
  <c r="F20" i="2"/>
  <c r="H20" i="2"/>
  <c r="F19" i="2"/>
  <c r="H19" i="2"/>
  <c r="F18" i="2"/>
  <c r="H18" i="2"/>
  <c r="F17" i="2"/>
  <c r="H17" i="2"/>
  <c r="F16" i="2"/>
  <c r="H16" i="2"/>
  <c r="F15" i="2"/>
  <c r="H15" i="2"/>
  <c r="F14" i="2"/>
  <c r="H14" i="2"/>
  <c r="F13" i="2"/>
  <c r="H13" i="2"/>
  <c r="I24" i="2"/>
  <c r="I13" i="2"/>
  <c r="G13" i="2"/>
  <c r="B9" i="2"/>
  <c r="I252" i="2"/>
  <c r="I251" i="2"/>
  <c r="G252" i="2"/>
  <c r="I250" i="2"/>
  <c r="G251" i="2"/>
  <c r="I249" i="2"/>
  <c r="G250" i="2"/>
  <c r="I248" i="2"/>
  <c r="G249" i="2"/>
  <c r="I247" i="2"/>
  <c r="G248" i="2"/>
  <c r="I246" i="2"/>
  <c r="G247" i="2"/>
  <c r="I245" i="2"/>
  <c r="G246" i="2"/>
  <c r="I244" i="2"/>
  <c r="G245" i="2"/>
  <c r="I243" i="2"/>
  <c r="G244" i="2"/>
  <c r="I242" i="2"/>
  <c r="G243" i="2"/>
  <c r="I241" i="2"/>
  <c r="G242" i="2"/>
  <c r="I240" i="2"/>
  <c r="G241" i="2"/>
  <c r="I239" i="2"/>
  <c r="G240" i="2"/>
  <c r="I238" i="2"/>
  <c r="G239" i="2"/>
  <c r="I237" i="2"/>
  <c r="G238" i="2"/>
  <c r="I236" i="2"/>
  <c r="G237" i="2"/>
  <c r="I235" i="2"/>
  <c r="G236" i="2"/>
  <c r="I234" i="2"/>
  <c r="G235" i="2"/>
  <c r="I233" i="2"/>
  <c r="G234" i="2"/>
  <c r="I232" i="2"/>
  <c r="G233" i="2"/>
  <c r="I231" i="2"/>
  <c r="G232" i="2"/>
  <c r="I230" i="2"/>
  <c r="G231" i="2"/>
  <c r="I229" i="2"/>
  <c r="G230" i="2"/>
  <c r="I228" i="2"/>
  <c r="G229" i="2"/>
  <c r="I227" i="2"/>
  <c r="G228" i="2"/>
  <c r="I226" i="2"/>
  <c r="G227" i="2"/>
  <c r="I225" i="2"/>
  <c r="G226" i="2"/>
  <c r="I224" i="2"/>
  <c r="G225" i="2"/>
  <c r="I223" i="2"/>
  <c r="G224" i="2"/>
  <c r="I222" i="2"/>
  <c r="G223" i="2"/>
  <c r="I221" i="2"/>
  <c r="G222" i="2"/>
  <c r="I220" i="2"/>
  <c r="G221" i="2"/>
  <c r="I219" i="2"/>
  <c r="G220" i="2"/>
  <c r="I218" i="2"/>
  <c r="G219" i="2"/>
  <c r="I217" i="2"/>
  <c r="G218" i="2"/>
  <c r="I216" i="2"/>
  <c r="G217" i="2"/>
  <c r="I215" i="2"/>
  <c r="G216" i="2"/>
  <c r="I214" i="2"/>
  <c r="G215" i="2"/>
  <c r="I213" i="2"/>
  <c r="G214" i="2"/>
  <c r="I212" i="2"/>
  <c r="G213" i="2"/>
  <c r="I211" i="2"/>
  <c r="G212" i="2"/>
  <c r="I210" i="2"/>
  <c r="G211" i="2"/>
  <c r="I209" i="2"/>
  <c r="G210" i="2"/>
  <c r="I208" i="2"/>
  <c r="G209" i="2"/>
  <c r="I207" i="2"/>
  <c r="G208" i="2"/>
  <c r="I206" i="2"/>
  <c r="G207" i="2"/>
  <c r="I205" i="2"/>
  <c r="G206" i="2"/>
  <c r="I204" i="2"/>
  <c r="G205" i="2"/>
  <c r="I203" i="2"/>
  <c r="G204" i="2"/>
  <c r="I202" i="2"/>
  <c r="G203" i="2"/>
  <c r="I201" i="2"/>
  <c r="G202" i="2"/>
  <c r="I200" i="2"/>
  <c r="G201" i="2"/>
  <c r="I199" i="2"/>
  <c r="G200" i="2"/>
  <c r="I198" i="2"/>
  <c r="G199" i="2"/>
  <c r="I197" i="2"/>
  <c r="G198" i="2"/>
  <c r="I196" i="2"/>
  <c r="G197" i="2"/>
  <c r="I195" i="2"/>
  <c r="G196" i="2"/>
  <c r="I194" i="2"/>
  <c r="G195" i="2"/>
  <c r="I193" i="2"/>
  <c r="G194" i="2"/>
  <c r="I192" i="2"/>
  <c r="G193" i="2"/>
  <c r="I191" i="2"/>
  <c r="G192" i="2"/>
  <c r="I190" i="2"/>
  <c r="G191" i="2"/>
  <c r="I189" i="2"/>
  <c r="G190" i="2"/>
  <c r="I188" i="2"/>
  <c r="G189" i="2"/>
  <c r="I187" i="2"/>
  <c r="G188" i="2"/>
  <c r="I186" i="2"/>
  <c r="G187" i="2"/>
  <c r="I185" i="2"/>
  <c r="G186" i="2"/>
  <c r="I184" i="2"/>
  <c r="G185" i="2"/>
  <c r="I183" i="2"/>
  <c r="G184" i="2"/>
  <c r="I182" i="2"/>
  <c r="G183" i="2"/>
  <c r="I181" i="2"/>
  <c r="G182" i="2"/>
  <c r="I180" i="2"/>
  <c r="G181" i="2"/>
  <c r="I179" i="2"/>
  <c r="G180" i="2"/>
  <c r="I178" i="2"/>
  <c r="G179" i="2"/>
  <c r="I177" i="2"/>
  <c r="G178" i="2"/>
  <c r="I176" i="2"/>
  <c r="G177" i="2"/>
  <c r="I175" i="2"/>
  <c r="G176" i="2"/>
  <c r="I174" i="2"/>
  <c r="G175" i="2"/>
  <c r="I173" i="2"/>
  <c r="G174" i="2"/>
  <c r="I172" i="2"/>
  <c r="G173" i="2"/>
  <c r="I171" i="2"/>
  <c r="G172" i="2"/>
  <c r="I170" i="2"/>
  <c r="G171" i="2"/>
  <c r="I169" i="2"/>
  <c r="G170" i="2"/>
  <c r="I168" i="2"/>
  <c r="G169" i="2"/>
  <c r="I167" i="2"/>
  <c r="G168" i="2"/>
  <c r="I166" i="2"/>
  <c r="G167" i="2"/>
  <c r="I165" i="2"/>
  <c r="G166" i="2"/>
  <c r="I164" i="2"/>
  <c r="G165" i="2"/>
  <c r="I163" i="2"/>
  <c r="G164" i="2"/>
  <c r="I162" i="2"/>
  <c r="G163" i="2"/>
  <c r="I161" i="2"/>
  <c r="G162" i="2"/>
  <c r="I160" i="2"/>
  <c r="G161" i="2"/>
  <c r="I159" i="2"/>
  <c r="G160" i="2"/>
  <c r="I158" i="2"/>
  <c r="G159" i="2"/>
  <c r="I157" i="2"/>
  <c r="G158" i="2"/>
  <c r="I156" i="2"/>
  <c r="G157" i="2"/>
  <c r="I155" i="2"/>
  <c r="G156" i="2"/>
  <c r="I154" i="2"/>
  <c r="G155" i="2"/>
  <c r="I153" i="2"/>
  <c r="G154" i="2"/>
  <c r="I152" i="2"/>
  <c r="G153" i="2"/>
  <c r="I151" i="2"/>
  <c r="G152" i="2"/>
  <c r="I150" i="2"/>
  <c r="G151" i="2"/>
  <c r="I149" i="2"/>
  <c r="G150" i="2"/>
  <c r="I148" i="2"/>
  <c r="G149" i="2"/>
  <c r="I147" i="2"/>
  <c r="G148" i="2"/>
  <c r="I146" i="2"/>
  <c r="G147" i="2"/>
  <c r="I145" i="2"/>
  <c r="G146" i="2"/>
  <c r="I144" i="2"/>
  <c r="G145" i="2"/>
  <c r="I143" i="2"/>
  <c r="G144" i="2"/>
  <c r="I142" i="2"/>
  <c r="G143" i="2"/>
  <c r="I141" i="2"/>
  <c r="G142" i="2"/>
  <c r="I140" i="2"/>
  <c r="G141" i="2"/>
  <c r="I139" i="2"/>
  <c r="G140" i="2"/>
  <c r="I138" i="2"/>
  <c r="G139" i="2"/>
  <c r="I137" i="2"/>
  <c r="G138" i="2"/>
  <c r="I136" i="2"/>
  <c r="G137" i="2"/>
  <c r="I135" i="2"/>
  <c r="G136" i="2"/>
  <c r="I134" i="2"/>
  <c r="G135" i="2"/>
  <c r="I133" i="2"/>
  <c r="G134" i="2"/>
  <c r="I132" i="2"/>
  <c r="G133" i="2"/>
  <c r="I131" i="2"/>
  <c r="G132" i="2"/>
  <c r="I130" i="2"/>
  <c r="G131" i="2"/>
  <c r="I129" i="2"/>
  <c r="G130" i="2"/>
  <c r="I128" i="2"/>
  <c r="G129" i="2"/>
  <c r="I127" i="2"/>
  <c r="G128" i="2"/>
  <c r="I126" i="2"/>
  <c r="G127" i="2"/>
  <c r="I125" i="2"/>
  <c r="G126" i="2"/>
  <c r="I124" i="2"/>
  <c r="G125" i="2"/>
  <c r="I123" i="2"/>
  <c r="G124" i="2"/>
  <c r="I122" i="2"/>
  <c r="G123" i="2"/>
  <c r="I121" i="2"/>
  <c r="G122" i="2"/>
  <c r="I120" i="2"/>
  <c r="G121" i="2"/>
  <c r="I119" i="2"/>
  <c r="G120" i="2"/>
  <c r="I118" i="2"/>
  <c r="G119" i="2"/>
  <c r="I117" i="2"/>
  <c r="G118" i="2"/>
  <c r="I116" i="2"/>
  <c r="G117" i="2"/>
  <c r="I115" i="2"/>
  <c r="G116" i="2"/>
  <c r="I114" i="2"/>
  <c r="G115" i="2"/>
  <c r="I113" i="2"/>
  <c r="G114" i="2"/>
  <c r="I112" i="2"/>
  <c r="G113" i="2"/>
  <c r="I111" i="2"/>
  <c r="G112" i="2"/>
  <c r="I110" i="2"/>
  <c r="G111" i="2"/>
  <c r="I109" i="2"/>
  <c r="G110" i="2"/>
  <c r="I108" i="2"/>
  <c r="G109" i="2"/>
  <c r="I107" i="2"/>
  <c r="G108" i="2"/>
  <c r="I106" i="2"/>
  <c r="G107" i="2"/>
  <c r="I105" i="2"/>
  <c r="G106" i="2"/>
  <c r="I104" i="2"/>
  <c r="G105" i="2"/>
  <c r="I103" i="2"/>
  <c r="G104" i="2"/>
  <c r="I102" i="2"/>
  <c r="G103" i="2"/>
  <c r="I101" i="2"/>
  <c r="G102" i="2"/>
  <c r="I100" i="2"/>
  <c r="G101" i="2"/>
  <c r="I99" i="2"/>
  <c r="G100" i="2"/>
  <c r="I98" i="2"/>
  <c r="G99" i="2"/>
  <c r="I97" i="2"/>
  <c r="G98" i="2"/>
  <c r="I96" i="2"/>
  <c r="G97" i="2"/>
  <c r="I95" i="2"/>
  <c r="G96" i="2"/>
  <c r="I94" i="2"/>
  <c r="G95" i="2"/>
  <c r="I93" i="2"/>
  <c r="G94" i="2"/>
  <c r="I92" i="2"/>
  <c r="G93" i="2"/>
  <c r="I91" i="2"/>
  <c r="G92" i="2"/>
  <c r="I90" i="2"/>
  <c r="G91" i="2"/>
  <c r="I89" i="2"/>
  <c r="G90" i="2"/>
  <c r="I88" i="2"/>
  <c r="G89" i="2"/>
  <c r="I87" i="2"/>
  <c r="G88" i="2"/>
  <c r="I86" i="2"/>
  <c r="G87" i="2"/>
  <c r="I85" i="2"/>
  <c r="G86" i="2"/>
  <c r="I84" i="2"/>
  <c r="G85" i="2"/>
  <c r="I83" i="2"/>
  <c r="G84" i="2"/>
  <c r="I82" i="2"/>
  <c r="G83" i="2"/>
  <c r="I81" i="2"/>
  <c r="G82" i="2"/>
  <c r="I80" i="2"/>
  <c r="G81" i="2"/>
  <c r="I79" i="2"/>
  <c r="G80" i="2"/>
  <c r="I78" i="2"/>
  <c r="G79" i="2"/>
  <c r="I77" i="2"/>
  <c r="G78" i="2"/>
  <c r="I76" i="2"/>
  <c r="G77" i="2"/>
  <c r="I75" i="2"/>
  <c r="G76" i="2"/>
  <c r="I74" i="2"/>
  <c r="G75" i="2"/>
  <c r="I73" i="2"/>
  <c r="G74" i="2"/>
  <c r="I72" i="2"/>
  <c r="G73" i="2"/>
  <c r="I71" i="2"/>
  <c r="G72" i="2"/>
  <c r="I70" i="2"/>
  <c r="G71" i="2"/>
  <c r="I69" i="2"/>
  <c r="G70" i="2"/>
  <c r="I68" i="2"/>
  <c r="G69" i="2"/>
  <c r="I67" i="2"/>
  <c r="G68" i="2"/>
  <c r="I66" i="2"/>
  <c r="G67" i="2"/>
  <c r="I65" i="2"/>
  <c r="G66" i="2"/>
  <c r="I64" i="2"/>
  <c r="G65" i="2"/>
  <c r="I63" i="2"/>
  <c r="G64" i="2"/>
  <c r="I62" i="2"/>
  <c r="G63" i="2"/>
  <c r="I61" i="2"/>
  <c r="G62" i="2"/>
  <c r="I60" i="2"/>
  <c r="G61" i="2"/>
  <c r="I59" i="2"/>
  <c r="G60" i="2"/>
  <c r="I58" i="2"/>
  <c r="G59" i="2"/>
  <c r="I57" i="2"/>
  <c r="G58" i="2"/>
  <c r="I56" i="2"/>
  <c r="G57" i="2"/>
  <c r="I55" i="2"/>
  <c r="G56" i="2"/>
  <c r="I54" i="2"/>
  <c r="G55" i="2"/>
  <c r="I53" i="2"/>
  <c r="G54" i="2"/>
  <c r="I52" i="2"/>
  <c r="G53" i="2"/>
  <c r="I51" i="2"/>
  <c r="G52" i="2"/>
  <c r="I50" i="2"/>
  <c r="G51" i="2"/>
  <c r="I49" i="2"/>
  <c r="G50" i="2"/>
  <c r="I48" i="2"/>
  <c r="G49" i="2"/>
  <c r="I47" i="2"/>
  <c r="G48" i="2"/>
  <c r="I46" i="2"/>
  <c r="G47" i="2"/>
  <c r="I45" i="2"/>
  <c r="G46" i="2"/>
  <c r="I44" i="2"/>
  <c r="G45" i="2"/>
  <c r="I43" i="2"/>
  <c r="G44" i="2"/>
  <c r="I42" i="2"/>
  <c r="G43" i="2"/>
  <c r="I41" i="2"/>
  <c r="G42" i="2"/>
  <c r="I40" i="2"/>
  <c r="G41" i="2"/>
  <c r="I39" i="2"/>
  <c r="G40" i="2"/>
  <c r="I38" i="2"/>
  <c r="G39" i="2"/>
  <c r="I37" i="2"/>
  <c r="G38" i="2"/>
  <c r="I36" i="2"/>
  <c r="G37" i="2"/>
  <c r="I35" i="2"/>
  <c r="G36" i="2"/>
  <c r="I34" i="2"/>
  <c r="G35" i="2"/>
  <c r="I33" i="2"/>
  <c r="G34" i="2"/>
  <c r="I32" i="2"/>
  <c r="G33" i="2"/>
  <c r="I31" i="2"/>
  <c r="G32" i="2"/>
  <c r="I30" i="2"/>
  <c r="G31" i="2"/>
  <c r="I29" i="2"/>
  <c r="G30" i="2"/>
  <c r="I28" i="2"/>
  <c r="G29" i="2"/>
  <c r="I27" i="2"/>
  <c r="G28" i="2"/>
  <c r="I26" i="2"/>
  <c r="G27" i="2"/>
  <c r="I25" i="2"/>
  <c r="G26" i="2"/>
  <c r="G25" i="2"/>
  <c r="I23" i="2"/>
  <c r="G24" i="2"/>
  <c r="I22" i="2"/>
  <c r="G23" i="2"/>
  <c r="I21" i="2"/>
  <c r="G22" i="2"/>
  <c r="I20" i="2"/>
  <c r="G21" i="2"/>
  <c r="I19" i="2"/>
  <c r="G20" i="2"/>
  <c r="I18" i="2"/>
  <c r="G19" i="2"/>
  <c r="I17" i="2"/>
  <c r="G18" i="2"/>
  <c r="I16" i="2"/>
  <c r="G17" i="2"/>
  <c r="I15" i="2"/>
  <c r="G16" i="2"/>
  <c r="I14" i="2"/>
  <c r="G15" i="2"/>
  <c r="G14" i="2"/>
  <c r="B7" i="2"/>
  <c r="B13" i="2"/>
  <c r="C13" i="2"/>
  <c r="D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D252" i="2"/>
  <c r="E252" i="2"/>
  <c r="D251" i="2"/>
  <c r="E251" i="2"/>
  <c r="D250" i="2"/>
  <c r="E250" i="2"/>
  <c r="D249" i="2"/>
  <c r="E249" i="2"/>
  <c r="D248" i="2"/>
  <c r="E248" i="2"/>
  <c r="D247" i="2"/>
  <c r="E247" i="2"/>
  <c r="D246" i="2"/>
  <c r="E246" i="2"/>
  <c r="D245" i="2"/>
  <c r="E245" i="2"/>
  <c r="D244" i="2"/>
  <c r="E244" i="2"/>
  <c r="D243" i="2"/>
  <c r="E243" i="2"/>
  <c r="D242" i="2"/>
  <c r="E242" i="2"/>
  <c r="D241" i="2"/>
  <c r="E241" i="2"/>
  <c r="D240" i="2"/>
  <c r="E240" i="2"/>
  <c r="D239" i="2"/>
  <c r="E239" i="2"/>
  <c r="D238" i="2"/>
  <c r="E238" i="2"/>
  <c r="D237" i="2"/>
  <c r="E237" i="2"/>
  <c r="D236" i="2"/>
  <c r="E236" i="2"/>
  <c r="D235" i="2"/>
  <c r="E235" i="2"/>
  <c r="D234" i="2"/>
  <c r="E234" i="2"/>
  <c r="D233" i="2"/>
  <c r="E233" i="2"/>
  <c r="D232" i="2"/>
  <c r="E232" i="2"/>
  <c r="D231" i="2"/>
  <c r="E231" i="2"/>
  <c r="D230" i="2"/>
  <c r="E230" i="2"/>
  <c r="D229" i="2"/>
  <c r="E229" i="2"/>
  <c r="D228" i="2"/>
  <c r="E228" i="2"/>
  <c r="D227" i="2"/>
  <c r="E227" i="2"/>
  <c r="D226" i="2"/>
  <c r="E226" i="2"/>
  <c r="D225" i="2"/>
  <c r="E225" i="2"/>
  <c r="D224" i="2"/>
  <c r="E224" i="2"/>
  <c r="D223" i="2"/>
  <c r="E223" i="2"/>
  <c r="D222" i="2"/>
  <c r="E222" i="2"/>
  <c r="D221" i="2"/>
  <c r="E221" i="2"/>
  <c r="D220" i="2"/>
  <c r="E220" i="2"/>
  <c r="D219" i="2"/>
  <c r="E219" i="2"/>
  <c r="D218" i="2"/>
  <c r="E218" i="2"/>
  <c r="D217" i="2"/>
  <c r="E217" i="2"/>
  <c r="D216" i="2"/>
  <c r="E216" i="2"/>
  <c r="D215" i="2"/>
  <c r="E215" i="2"/>
  <c r="D214" i="2"/>
  <c r="E214" i="2"/>
  <c r="D213" i="2"/>
  <c r="E213" i="2"/>
  <c r="D212" i="2"/>
  <c r="E212" i="2"/>
  <c r="D211" i="2"/>
  <c r="E211" i="2"/>
  <c r="D210" i="2"/>
  <c r="E210" i="2"/>
  <c r="D209" i="2"/>
  <c r="E209" i="2"/>
  <c r="D208" i="2"/>
  <c r="E208" i="2"/>
  <c r="D207" i="2"/>
  <c r="E207" i="2"/>
  <c r="D206" i="2"/>
  <c r="E206" i="2"/>
  <c r="D205" i="2"/>
  <c r="E205" i="2"/>
  <c r="D204" i="2"/>
  <c r="E204" i="2"/>
  <c r="D203" i="2"/>
  <c r="E203" i="2"/>
  <c r="D202" i="2"/>
  <c r="E202" i="2"/>
  <c r="D201" i="2"/>
  <c r="E201" i="2"/>
  <c r="D200" i="2"/>
  <c r="E200" i="2"/>
  <c r="D199" i="2"/>
  <c r="E199" i="2"/>
  <c r="D198" i="2"/>
  <c r="E198" i="2"/>
  <c r="D197" i="2"/>
  <c r="E197" i="2"/>
  <c r="D196" i="2"/>
  <c r="E196" i="2"/>
  <c r="D195" i="2"/>
  <c r="E195" i="2"/>
  <c r="D194" i="2"/>
  <c r="E194" i="2"/>
  <c r="D193" i="2"/>
  <c r="E193" i="2"/>
  <c r="D192" i="2"/>
  <c r="E192" i="2"/>
  <c r="D191" i="2"/>
  <c r="E191" i="2"/>
  <c r="D190" i="2"/>
  <c r="E190" i="2"/>
  <c r="D189" i="2"/>
  <c r="E189" i="2"/>
  <c r="D188" i="2"/>
  <c r="E188" i="2"/>
  <c r="D187" i="2"/>
  <c r="E187" i="2"/>
  <c r="D186" i="2"/>
  <c r="E186" i="2"/>
  <c r="D185" i="2"/>
  <c r="E185" i="2"/>
  <c r="D184" i="2"/>
  <c r="E184" i="2"/>
  <c r="D183" i="2"/>
  <c r="E183" i="2"/>
  <c r="D182" i="2"/>
  <c r="E182" i="2"/>
  <c r="D181" i="2"/>
  <c r="E181" i="2"/>
  <c r="D180" i="2"/>
  <c r="E180" i="2"/>
  <c r="D179" i="2"/>
  <c r="E179" i="2"/>
  <c r="D178" i="2"/>
  <c r="E178" i="2"/>
  <c r="D177" i="2"/>
  <c r="E177" i="2"/>
  <c r="D176" i="2"/>
  <c r="E176" i="2"/>
  <c r="D175" i="2"/>
  <c r="E175" i="2"/>
  <c r="D174" i="2"/>
  <c r="E174" i="2"/>
  <c r="D173" i="2"/>
  <c r="E173" i="2"/>
  <c r="D172" i="2"/>
  <c r="E172" i="2"/>
  <c r="D171" i="2"/>
  <c r="E171" i="2"/>
  <c r="D170" i="2"/>
  <c r="E170" i="2"/>
  <c r="D169" i="2"/>
  <c r="E169" i="2"/>
  <c r="D168" i="2"/>
  <c r="E168" i="2"/>
  <c r="D167" i="2"/>
  <c r="E167" i="2"/>
  <c r="D166" i="2"/>
  <c r="E166" i="2"/>
  <c r="D165" i="2"/>
  <c r="E165" i="2"/>
  <c r="D164" i="2"/>
  <c r="E164" i="2"/>
  <c r="D163" i="2"/>
  <c r="E163" i="2"/>
  <c r="D162" i="2"/>
  <c r="E162" i="2"/>
  <c r="D161" i="2"/>
  <c r="E161" i="2"/>
  <c r="D160" i="2"/>
  <c r="E160" i="2"/>
  <c r="D159" i="2"/>
  <c r="E159" i="2"/>
  <c r="D158" i="2"/>
  <c r="E158" i="2"/>
  <c r="D157" i="2"/>
  <c r="E157" i="2"/>
  <c r="D156" i="2"/>
  <c r="E156" i="2"/>
  <c r="D155" i="2"/>
  <c r="E155" i="2"/>
  <c r="D154" i="2"/>
  <c r="E154" i="2"/>
  <c r="D153" i="2"/>
  <c r="E153" i="2"/>
  <c r="D152" i="2"/>
  <c r="E152" i="2"/>
  <c r="D151" i="2"/>
  <c r="E151" i="2"/>
  <c r="D150" i="2"/>
  <c r="E150" i="2"/>
  <c r="D149" i="2"/>
  <c r="E149" i="2"/>
  <c r="D148" i="2"/>
  <c r="E148" i="2"/>
  <c r="D147" i="2"/>
  <c r="E147" i="2"/>
  <c r="D146" i="2"/>
  <c r="E146" i="2"/>
  <c r="D145" i="2"/>
  <c r="E145" i="2"/>
  <c r="D144" i="2"/>
  <c r="E144" i="2"/>
  <c r="D143" i="2"/>
  <c r="E143" i="2"/>
  <c r="D142" i="2"/>
  <c r="E142" i="2"/>
  <c r="D141" i="2"/>
  <c r="E141" i="2"/>
  <c r="D140" i="2"/>
  <c r="E140" i="2"/>
  <c r="D139" i="2"/>
  <c r="E139" i="2"/>
  <c r="D138" i="2"/>
  <c r="E138" i="2"/>
  <c r="D137" i="2"/>
  <c r="E137" i="2"/>
  <c r="D136" i="2"/>
  <c r="E136" i="2"/>
  <c r="D135" i="2"/>
  <c r="E135" i="2"/>
  <c r="D134" i="2"/>
  <c r="E134" i="2"/>
  <c r="D133" i="2"/>
  <c r="E133" i="2"/>
  <c r="D132" i="2"/>
  <c r="E132" i="2"/>
  <c r="D131" i="2"/>
  <c r="E131" i="2"/>
  <c r="D130" i="2"/>
  <c r="E130" i="2"/>
  <c r="D129" i="2"/>
  <c r="E129" i="2"/>
  <c r="D128" i="2"/>
  <c r="E128" i="2"/>
  <c r="D127" i="2"/>
  <c r="E127" i="2"/>
  <c r="D126" i="2"/>
  <c r="E126" i="2"/>
  <c r="D125" i="2"/>
  <c r="E125" i="2"/>
  <c r="D124" i="2"/>
  <c r="E124" i="2"/>
  <c r="D123" i="2"/>
  <c r="E123" i="2"/>
  <c r="D122" i="2"/>
  <c r="E122" i="2"/>
  <c r="D121" i="2"/>
  <c r="E121" i="2"/>
  <c r="D120" i="2"/>
  <c r="E120" i="2"/>
  <c r="D119" i="2"/>
  <c r="E119" i="2"/>
  <c r="D118" i="2"/>
  <c r="E118" i="2"/>
  <c r="D117" i="2"/>
  <c r="E117" i="2"/>
  <c r="D116" i="2"/>
  <c r="E116" i="2"/>
  <c r="D115" i="2"/>
  <c r="E115" i="2"/>
  <c r="D114" i="2"/>
  <c r="E114" i="2"/>
  <c r="D113" i="2"/>
  <c r="E113" i="2"/>
  <c r="D112" i="2"/>
  <c r="E112" i="2"/>
  <c r="D111" i="2"/>
  <c r="E111" i="2"/>
  <c r="D110" i="2"/>
  <c r="E110" i="2"/>
  <c r="D109" i="2"/>
  <c r="E109" i="2"/>
  <c r="D108" i="2"/>
  <c r="E108" i="2"/>
  <c r="D107" i="2"/>
  <c r="E107" i="2"/>
  <c r="D106" i="2"/>
  <c r="E106" i="2"/>
  <c r="D105" i="2"/>
  <c r="E105" i="2"/>
  <c r="D104" i="2"/>
  <c r="E104" i="2"/>
  <c r="D103" i="2"/>
  <c r="E103" i="2"/>
  <c r="D102" i="2"/>
  <c r="E102" i="2"/>
  <c r="D101" i="2"/>
  <c r="E101" i="2"/>
  <c r="D100" i="2"/>
  <c r="E100" i="2"/>
  <c r="D99" i="2"/>
  <c r="E99" i="2"/>
  <c r="D98" i="2"/>
  <c r="E98" i="2"/>
  <c r="D97" i="2"/>
  <c r="E97" i="2"/>
  <c r="D96" i="2"/>
  <c r="E96" i="2"/>
  <c r="D95" i="2"/>
  <c r="E95" i="2"/>
  <c r="D94" i="2"/>
  <c r="E94" i="2"/>
  <c r="D93" i="2"/>
  <c r="E93" i="2"/>
  <c r="D92" i="2"/>
  <c r="E92" i="2"/>
  <c r="D91" i="2"/>
  <c r="E91" i="2"/>
  <c r="D90" i="2"/>
  <c r="E90" i="2"/>
  <c r="D89" i="2"/>
  <c r="E89" i="2"/>
  <c r="D88" i="2"/>
  <c r="E88" i="2"/>
  <c r="D87" i="2"/>
  <c r="E87" i="2"/>
  <c r="D86" i="2"/>
  <c r="E86" i="2"/>
  <c r="D85" i="2"/>
  <c r="E85" i="2"/>
  <c r="D84" i="2"/>
  <c r="E84" i="2"/>
  <c r="D83" i="2"/>
  <c r="E83" i="2"/>
  <c r="D82" i="2"/>
  <c r="E82" i="2"/>
  <c r="D81" i="2"/>
  <c r="E81" i="2"/>
  <c r="D80" i="2"/>
  <c r="E80" i="2"/>
  <c r="D79" i="2"/>
  <c r="E79" i="2"/>
  <c r="D78" i="2"/>
  <c r="E78" i="2"/>
  <c r="D77" i="2"/>
  <c r="E77" i="2"/>
  <c r="D76" i="2"/>
  <c r="E76" i="2"/>
  <c r="D75" i="2"/>
  <c r="E75" i="2"/>
  <c r="D74" i="2"/>
  <c r="E74" i="2"/>
  <c r="D73" i="2"/>
  <c r="E73" i="2"/>
  <c r="D72" i="2"/>
  <c r="E72" i="2"/>
  <c r="D71" i="2"/>
  <c r="E71" i="2"/>
  <c r="D70" i="2"/>
  <c r="E70" i="2"/>
  <c r="D69" i="2"/>
  <c r="E69" i="2"/>
  <c r="D68" i="2"/>
  <c r="E68" i="2"/>
  <c r="D67" i="2"/>
  <c r="E67" i="2"/>
  <c r="D66" i="2"/>
  <c r="E66" i="2"/>
  <c r="D65" i="2"/>
  <c r="E65" i="2"/>
  <c r="D64" i="2"/>
  <c r="E64" i="2"/>
  <c r="D63" i="2"/>
  <c r="E63" i="2"/>
  <c r="D62" i="2"/>
  <c r="E62" i="2"/>
  <c r="D61" i="2"/>
  <c r="E61" i="2"/>
  <c r="D60" i="2"/>
  <c r="E60" i="2"/>
  <c r="D59" i="2"/>
  <c r="E59" i="2"/>
  <c r="D58" i="2"/>
  <c r="E58" i="2"/>
  <c r="D57" i="2"/>
  <c r="E57" i="2"/>
  <c r="D56" i="2"/>
  <c r="E56" i="2"/>
  <c r="D55" i="2"/>
  <c r="E55" i="2"/>
  <c r="D54" i="2"/>
  <c r="E54" i="2"/>
  <c r="D53" i="2"/>
  <c r="E53" i="2"/>
  <c r="D52" i="2"/>
  <c r="E52" i="2"/>
  <c r="D51" i="2"/>
  <c r="E51" i="2"/>
  <c r="D50" i="2"/>
  <c r="E50" i="2"/>
  <c r="D49" i="2"/>
  <c r="E49" i="2"/>
  <c r="D48" i="2"/>
  <c r="E48" i="2"/>
  <c r="D47" i="2"/>
  <c r="E47" i="2"/>
  <c r="D46" i="2"/>
  <c r="E46" i="2"/>
  <c r="D45" i="2"/>
  <c r="E45" i="2"/>
  <c r="D44" i="2"/>
  <c r="E44" i="2"/>
  <c r="D43" i="2"/>
  <c r="E43" i="2"/>
  <c r="D42" i="2"/>
  <c r="E42" i="2"/>
  <c r="D41" i="2"/>
  <c r="E41" i="2"/>
  <c r="D40" i="2"/>
  <c r="E40" i="2"/>
  <c r="D39" i="2"/>
  <c r="E39" i="2"/>
  <c r="D38" i="2"/>
  <c r="E38" i="2"/>
  <c r="D37" i="2"/>
  <c r="E37" i="2"/>
  <c r="D36" i="2"/>
  <c r="E36" i="2"/>
  <c r="D35" i="2"/>
  <c r="E35" i="2"/>
  <c r="D34" i="2"/>
  <c r="E34" i="2"/>
  <c r="D33" i="2"/>
  <c r="E33" i="2"/>
  <c r="D32" i="2"/>
  <c r="E32" i="2"/>
  <c r="D31" i="2"/>
  <c r="E31" i="2"/>
  <c r="D30" i="2"/>
  <c r="E30" i="2"/>
  <c r="D29" i="2"/>
  <c r="E29" i="2"/>
  <c r="D28" i="2"/>
  <c r="E28" i="2"/>
  <c r="D27" i="2"/>
  <c r="E27" i="2"/>
  <c r="D26" i="2"/>
  <c r="E26" i="2"/>
  <c r="D25" i="2"/>
  <c r="E25" i="2"/>
  <c r="D24" i="2"/>
  <c r="E24" i="2"/>
  <c r="D23" i="2"/>
  <c r="E23" i="2"/>
  <c r="D22" i="2"/>
  <c r="E22" i="2"/>
  <c r="D21" i="2"/>
  <c r="E21" i="2"/>
  <c r="D20" i="2"/>
  <c r="E20" i="2"/>
  <c r="D19" i="2"/>
  <c r="E19" i="2"/>
  <c r="D18" i="2"/>
  <c r="E18" i="2"/>
  <c r="D17" i="2"/>
  <c r="E17" i="2"/>
  <c r="D16" i="2"/>
  <c r="E16" i="2"/>
  <c r="D15" i="2"/>
  <c r="E15" i="2"/>
  <c r="D14" i="2"/>
  <c r="E14" i="2"/>
  <c r="E13" i="2"/>
  <c r="J14" i="2"/>
  <c r="J26" i="5"/>
  <c r="E49" i="5"/>
  <c r="C62" i="5"/>
  <c r="C63" i="5"/>
  <c r="C64" i="5"/>
  <c r="C65" i="5"/>
  <c r="C59" i="5"/>
  <c r="E51" i="5"/>
  <c r="E50" i="5"/>
  <c r="R49" i="5"/>
  <c r="E46" i="5"/>
  <c r="E47" i="5"/>
  <c r="O21" i="5"/>
  <c r="P21" i="5"/>
  <c r="Q21" i="5"/>
  <c r="R21" i="5"/>
  <c r="O22" i="5"/>
  <c r="P22" i="5"/>
  <c r="Q22" i="5"/>
  <c r="R22" i="5"/>
  <c r="E30" i="5"/>
  <c r="J29" i="5"/>
  <c r="F29" i="5"/>
  <c r="N23" i="5"/>
  <c r="N24" i="5"/>
  <c r="N25" i="5"/>
  <c r="N26" i="5"/>
  <c r="N27" i="5"/>
  <c r="H27" i="5"/>
  <c r="I26" i="5"/>
  <c r="H26" i="5"/>
  <c r="E24" i="5"/>
  <c r="E25" i="5"/>
  <c r="E22" i="5"/>
  <c r="E26" i="5"/>
  <c r="F26" i="5"/>
  <c r="I25" i="5"/>
  <c r="L24" i="5"/>
  <c r="L23" i="5"/>
  <c r="N18" i="5"/>
  <c r="D10" i="5"/>
  <c r="D11" i="5"/>
  <c r="D12" i="5"/>
  <c r="E10" i="5"/>
  <c r="E12" i="5"/>
  <c r="E11" i="5"/>
  <c r="E5" i="5"/>
  <c r="E4" i="5"/>
  <c r="E3" i="5"/>
  <c r="F3" i="5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CW9" i="4"/>
  <c r="CW11" i="4"/>
  <c r="CV9" i="4"/>
  <c r="CV11" i="4"/>
  <c r="CU9" i="4"/>
  <c r="CU11" i="4"/>
  <c r="CT9" i="4"/>
  <c r="CT11" i="4"/>
  <c r="CS9" i="4"/>
  <c r="CS11" i="4"/>
  <c r="CR9" i="4"/>
  <c r="CR11" i="4"/>
  <c r="CQ9" i="4"/>
  <c r="CQ11" i="4"/>
  <c r="CP9" i="4"/>
  <c r="CP11" i="4"/>
  <c r="CO9" i="4"/>
  <c r="CO11" i="4"/>
  <c r="CN9" i="4"/>
  <c r="CN11" i="4"/>
  <c r="CM9" i="4"/>
  <c r="CM11" i="4"/>
  <c r="CL9" i="4"/>
  <c r="CL11" i="4"/>
  <c r="CK9" i="4"/>
  <c r="CK11" i="4"/>
  <c r="CJ9" i="4"/>
  <c r="CJ11" i="4"/>
  <c r="CI9" i="4"/>
  <c r="CI11" i="4"/>
  <c r="CH9" i="4"/>
  <c r="CH11" i="4"/>
  <c r="CG9" i="4"/>
  <c r="CG11" i="4"/>
  <c r="CF9" i="4"/>
  <c r="CF11" i="4"/>
  <c r="CE9" i="4"/>
  <c r="CE11" i="4"/>
  <c r="CD9" i="4"/>
  <c r="CD11" i="4"/>
  <c r="CC9" i="4"/>
  <c r="CC11" i="4"/>
  <c r="CB9" i="4"/>
  <c r="CB11" i="4"/>
  <c r="CA9" i="4"/>
  <c r="CA11" i="4"/>
  <c r="BZ9" i="4"/>
  <c r="BZ11" i="4"/>
  <c r="BY9" i="4"/>
  <c r="BY11" i="4"/>
  <c r="BX9" i="4"/>
  <c r="BX11" i="4"/>
  <c r="BW9" i="4"/>
  <c r="BW11" i="4"/>
  <c r="BV9" i="4"/>
  <c r="BV11" i="4"/>
  <c r="BU9" i="4"/>
  <c r="BU11" i="4"/>
  <c r="BT9" i="4"/>
  <c r="BT11" i="4"/>
  <c r="BS9" i="4"/>
  <c r="BS11" i="4"/>
  <c r="BR9" i="4"/>
  <c r="BR11" i="4"/>
  <c r="BQ9" i="4"/>
  <c r="BQ11" i="4"/>
  <c r="BP9" i="4"/>
  <c r="BP11" i="4"/>
  <c r="BO9" i="4"/>
  <c r="BO11" i="4"/>
  <c r="BN9" i="4"/>
  <c r="BN11" i="4"/>
  <c r="BM9" i="4"/>
  <c r="BM11" i="4"/>
  <c r="BL9" i="4"/>
  <c r="BL11" i="4"/>
  <c r="BK9" i="4"/>
  <c r="BK11" i="4"/>
  <c r="BJ9" i="4"/>
  <c r="BJ11" i="4"/>
  <c r="BI9" i="4"/>
  <c r="BI11" i="4"/>
  <c r="BH9" i="4"/>
  <c r="BH11" i="4"/>
  <c r="BG9" i="4"/>
  <c r="BG11" i="4"/>
  <c r="BF9" i="4"/>
  <c r="BF11" i="4"/>
  <c r="BE9" i="4"/>
  <c r="BE11" i="4"/>
  <c r="BD9" i="4"/>
  <c r="BD11" i="4"/>
  <c r="BC9" i="4"/>
  <c r="BC11" i="4"/>
  <c r="BB9" i="4"/>
  <c r="BB11" i="4"/>
  <c r="BA9" i="4"/>
  <c r="BA11" i="4"/>
  <c r="AZ9" i="4"/>
  <c r="AZ11" i="4"/>
  <c r="AY9" i="4"/>
  <c r="AY11" i="4"/>
  <c r="AX9" i="4"/>
  <c r="AX11" i="4"/>
  <c r="AW9" i="4"/>
  <c r="AW11" i="4"/>
  <c r="AV9" i="4"/>
  <c r="AV11" i="4"/>
  <c r="AU9" i="4"/>
  <c r="AU11" i="4"/>
  <c r="AT9" i="4"/>
  <c r="AT11" i="4"/>
  <c r="AS9" i="4"/>
  <c r="AS11" i="4"/>
  <c r="AR9" i="4"/>
  <c r="AR11" i="4"/>
  <c r="AQ9" i="4"/>
  <c r="AQ11" i="4"/>
  <c r="AP9" i="4"/>
  <c r="AP11" i="4"/>
  <c r="AO9" i="4"/>
  <c r="AO11" i="4"/>
  <c r="AN9" i="4"/>
  <c r="AN11" i="4"/>
  <c r="AM9" i="4"/>
  <c r="AM11" i="4"/>
  <c r="AL9" i="4"/>
  <c r="AL11" i="4"/>
  <c r="AK9" i="4"/>
  <c r="AK11" i="4"/>
  <c r="AJ9" i="4"/>
  <c r="AJ11" i="4"/>
  <c r="AI9" i="4"/>
  <c r="AI11" i="4"/>
  <c r="AH9" i="4"/>
  <c r="AH11" i="4"/>
  <c r="AG9" i="4"/>
  <c r="AG11" i="4"/>
  <c r="AF9" i="4"/>
  <c r="AF11" i="4"/>
  <c r="AE9" i="4"/>
  <c r="AE11" i="4"/>
  <c r="AD9" i="4"/>
  <c r="AD11" i="4"/>
  <c r="B7" i="4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O3" i="3"/>
  <c r="CP3" i="3"/>
  <c r="CQ3" i="3"/>
  <c r="CR3" i="3"/>
  <c r="CS3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A18" i="3"/>
  <c r="D18" i="3"/>
  <c r="E18" i="3"/>
  <c r="A19" i="3"/>
  <c r="D19" i="3"/>
  <c r="E19" i="3"/>
  <c r="A20" i="3"/>
  <c r="D20" i="3"/>
  <c r="E20" i="3"/>
  <c r="A21" i="3"/>
  <c r="D21" i="3"/>
  <c r="E21" i="3"/>
  <c r="A22" i="3"/>
  <c r="D22" i="3"/>
  <c r="E22" i="3"/>
  <c r="A23" i="3"/>
  <c r="D23" i="3"/>
  <c r="E23" i="3"/>
  <c r="A24" i="3"/>
  <c r="D24" i="3"/>
  <c r="E24" i="3"/>
  <c r="A25" i="3"/>
  <c r="D25" i="3"/>
  <c r="E25" i="3"/>
  <c r="A26" i="3"/>
  <c r="D26" i="3"/>
  <c r="E26" i="3"/>
  <c r="A27" i="3"/>
  <c r="D27" i="3"/>
  <c r="E27" i="3"/>
  <c r="A28" i="3"/>
  <c r="D28" i="3"/>
  <c r="E28" i="3"/>
  <c r="A29" i="3"/>
  <c r="D29" i="3"/>
  <c r="E29" i="3"/>
  <c r="A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D232" i="3"/>
  <c r="E232" i="3"/>
  <c r="A233" i="3"/>
  <c r="B233" i="3"/>
  <c r="C233" i="3"/>
  <c r="D233" i="3"/>
  <c r="E233" i="3"/>
  <c r="A234" i="3"/>
  <c r="B234" i="3"/>
  <c r="C234" i="3"/>
  <c r="D234" i="3"/>
  <c r="E234" i="3"/>
  <c r="A235" i="3"/>
  <c r="B235" i="3"/>
  <c r="C235" i="3"/>
  <c r="D235" i="3"/>
  <c r="E235" i="3"/>
  <c r="A236" i="3"/>
  <c r="B236" i="3"/>
  <c r="C236" i="3"/>
  <c r="D236" i="3"/>
  <c r="E236" i="3"/>
  <c r="A237" i="3"/>
  <c r="B237" i="3"/>
  <c r="C237" i="3"/>
  <c r="D237" i="3"/>
  <c r="E237" i="3"/>
  <c r="A238" i="3"/>
  <c r="B238" i="3"/>
  <c r="C238" i="3"/>
  <c r="D238" i="3"/>
  <c r="E238" i="3"/>
  <c r="A239" i="3"/>
  <c r="B239" i="3"/>
  <c r="C239" i="3"/>
  <c r="D239" i="3"/>
  <c r="E239" i="3"/>
  <c r="A240" i="3"/>
  <c r="B240" i="3"/>
  <c r="C240" i="3"/>
  <c r="D240" i="3"/>
  <c r="E240" i="3"/>
  <c r="A241" i="3"/>
  <c r="B241" i="3"/>
  <c r="C241" i="3"/>
  <c r="D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D245" i="3"/>
  <c r="E245" i="3"/>
  <c r="A246" i="3"/>
  <c r="B246" i="3"/>
  <c r="C246" i="3"/>
  <c r="D246" i="3"/>
  <c r="E246" i="3"/>
  <c r="A247" i="3"/>
  <c r="B247" i="3"/>
  <c r="C247" i="3"/>
  <c r="D247" i="3"/>
  <c r="E247" i="3"/>
  <c r="A248" i="3"/>
  <c r="B248" i="3"/>
  <c r="C248" i="3"/>
  <c r="D248" i="3"/>
  <c r="E248" i="3"/>
  <c r="A249" i="3"/>
  <c r="B249" i="3"/>
  <c r="C249" i="3"/>
  <c r="D249" i="3"/>
  <c r="E249" i="3"/>
  <c r="A250" i="3"/>
  <c r="B250" i="3"/>
  <c r="C250" i="3"/>
  <c r="D250" i="3"/>
  <c r="E250" i="3"/>
  <c r="A251" i="3"/>
  <c r="B251" i="3"/>
  <c r="C251" i="3"/>
  <c r="D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D254" i="3"/>
  <c r="E254" i="3"/>
  <c r="A255" i="3"/>
  <c r="B255" i="3"/>
  <c r="C255" i="3"/>
  <c r="D255" i="3"/>
  <c r="E255" i="3"/>
  <c r="A256" i="3"/>
  <c r="B256" i="3"/>
  <c r="C256" i="3"/>
  <c r="D256" i="3"/>
  <c r="E256" i="3"/>
  <c r="A257" i="3"/>
  <c r="B257" i="3"/>
  <c r="C257" i="3"/>
  <c r="D257" i="3"/>
  <c r="E257" i="3"/>
  <c r="A258" i="3"/>
  <c r="B258" i="3"/>
  <c r="C258" i="3"/>
  <c r="D258" i="3"/>
  <c r="E258" i="3"/>
  <c r="A259" i="3"/>
  <c r="B259" i="3"/>
  <c r="C259" i="3"/>
  <c r="D259" i="3"/>
  <c r="E259" i="3"/>
  <c r="A260" i="3"/>
  <c r="B260" i="3"/>
  <c r="C260" i="3"/>
  <c r="D260" i="3"/>
  <c r="E260" i="3"/>
  <c r="A261" i="3"/>
  <c r="B261" i="3"/>
  <c r="C261" i="3"/>
  <c r="D261" i="3"/>
  <c r="E261" i="3"/>
  <c r="A262" i="3"/>
  <c r="B262" i="3"/>
  <c r="C262" i="3"/>
  <c r="D262" i="3"/>
  <c r="E262" i="3"/>
  <c r="B7" i="3"/>
  <c r="J13" i="1" l="1"/>
  <c r="E13" i="1"/>
  <c r="F13" i="1" s="1"/>
  <c r="H13" i="1" s="1"/>
  <c r="D14" i="1"/>
  <c r="E12" i="1"/>
  <c r="F12" i="1" s="1"/>
  <c r="H12" i="1" s="1"/>
  <c r="G6" i="1" s="1"/>
  <c r="J12" i="1"/>
  <c r="H6" i="1" l="1"/>
  <c r="G7" i="1"/>
  <c r="I13" i="1"/>
  <c r="I14" i="1" s="1"/>
  <c r="M12" i="1"/>
  <c r="O12" i="1" s="1"/>
  <c r="K13" i="1"/>
  <c r="K12" i="1"/>
  <c r="J14" i="1"/>
  <c r="K14" i="1" s="1"/>
  <c r="E14" i="1"/>
  <c r="F14" i="1" s="1"/>
  <c r="H14" i="1" s="1"/>
  <c r="D15" i="1"/>
  <c r="N12" i="1" l="1"/>
  <c r="M13" i="1"/>
  <c r="I15" i="1"/>
  <c r="E15" i="1"/>
  <c r="F15" i="1" s="1"/>
  <c r="H15" i="1" s="1"/>
  <c r="D16" i="1"/>
  <c r="J15" i="1"/>
  <c r="K15" i="1" s="1"/>
  <c r="M14" i="1"/>
  <c r="L14" i="1" s="1"/>
  <c r="L12" i="1"/>
  <c r="L13" i="1" l="1"/>
  <c r="N13" i="1"/>
  <c r="O13" i="1"/>
  <c r="I16" i="1"/>
  <c r="N14" i="1"/>
  <c r="O14" i="1"/>
  <c r="M15" i="1"/>
  <c r="N15" i="1" s="1"/>
  <c r="J16" i="1"/>
  <c r="E16" i="1"/>
  <c r="F16" i="1" s="1"/>
  <c r="H16" i="1" s="1"/>
  <c r="D17" i="1"/>
  <c r="I17" i="1" l="1"/>
  <c r="M16" i="1"/>
  <c r="L16" i="1" s="1"/>
  <c r="K16" i="1"/>
  <c r="O15" i="1"/>
  <c r="L15" i="1"/>
  <c r="D18" i="1"/>
  <c r="J17" i="1"/>
  <c r="K17" i="1" s="1"/>
  <c r="E17" i="1"/>
  <c r="F17" i="1" s="1"/>
  <c r="H17" i="1" s="1"/>
  <c r="O16" i="1" l="1"/>
  <c r="N16" i="1"/>
  <c r="M17" i="1"/>
  <c r="O17" i="1" s="1"/>
  <c r="E18" i="1"/>
  <c r="F18" i="1" s="1"/>
  <c r="H18" i="1" s="1"/>
  <c r="D19" i="1"/>
  <c r="J18" i="1"/>
  <c r="I18" i="1"/>
  <c r="N17" i="1" l="1"/>
  <c r="L17" i="1"/>
  <c r="K18" i="1"/>
  <c r="I19" i="1"/>
  <c r="M18" i="1"/>
  <c r="L18" i="1" s="1"/>
  <c r="J19" i="1"/>
  <c r="E19" i="1"/>
  <c r="F19" i="1" s="1"/>
  <c r="H19" i="1" s="1"/>
  <c r="D20" i="1"/>
  <c r="O18" i="1" l="1"/>
  <c r="I20" i="1"/>
  <c r="N18" i="1"/>
  <c r="D21" i="1"/>
  <c r="J20" i="1"/>
  <c r="E20" i="1"/>
  <c r="F20" i="1" s="1"/>
  <c r="H20" i="1" s="1"/>
  <c r="M19" i="1"/>
  <c r="L19" i="1" s="1"/>
  <c r="K19" i="1"/>
  <c r="I21" i="1" l="1"/>
  <c r="N19" i="1"/>
  <c r="O19" i="1"/>
  <c r="M20" i="1"/>
  <c r="O20" i="1" s="1"/>
  <c r="K20" i="1"/>
  <c r="J21" i="1"/>
  <c r="E21" i="1"/>
  <c r="F21" i="1" s="1"/>
  <c r="H21" i="1" s="1"/>
  <c r="D22" i="1"/>
  <c r="N20" i="1" l="1"/>
  <c r="J22" i="1"/>
  <c r="E22" i="1"/>
  <c r="F22" i="1" s="1"/>
  <c r="H22" i="1" s="1"/>
  <c r="D23" i="1"/>
  <c r="L20" i="1"/>
  <c r="M21" i="1"/>
  <c r="L21" i="1" s="1"/>
  <c r="K21" i="1"/>
  <c r="I22" i="1"/>
  <c r="I23" i="1" l="1"/>
  <c r="N21" i="1"/>
  <c r="E23" i="1"/>
  <c r="F23" i="1" s="1"/>
  <c r="H23" i="1" s="1"/>
  <c r="D24" i="1"/>
  <c r="J23" i="1"/>
  <c r="M22" i="1"/>
  <c r="L22" i="1" s="1"/>
  <c r="K22" i="1"/>
  <c r="O21" i="1"/>
  <c r="O22" i="1" l="1"/>
  <c r="M23" i="1"/>
  <c r="L23" i="1" s="1"/>
  <c r="K23" i="1"/>
  <c r="J24" i="1"/>
  <c r="E24" i="1"/>
  <c r="F24" i="1" s="1"/>
  <c r="H24" i="1" s="1"/>
  <c r="D25" i="1"/>
  <c r="I24" i="1"/>
  <c r="N22" i="1"/>
  <c r="O23" i="1" l="1"/>
  <c r="I25" i="1"/>
  <c r="N23" i="1"/>
  <c r="D26" i="1"/>
  <c r="J25" i="1"/>
  <c r="E25" i="1"/>
  <c r="F25" i="1" s="1"/>
  <c r="H25" i="1" s="1"/>
  <c r="M24" i="1"/>
  <c r="L24" i="1" s="1"/>
  <c r="K24" i="1"/>
  <c r="E26" i="1" l="1"/>
  <c r="F26" i="1" s="1"/>
  <c r="H26" i="1" s="1"/>
  <c r="D27" i="1"/>
  <c r="J26" i="1"/>
  <c r="N24" i="1"/>
  <c r="M25" i="1"/>
  <c r="L25" i="1" s="1"/>
  <c r="K25" i="1"/>
  <c r="O24" i="1"/>
  <c r="I26" i="1"/>
  <c r="O25" i="1" l="1"/>
  <c r="N25" i="1"/>
  <c r="M26" i="1"/>
  <c r="L26" i="1" s="1"/>
  <c r="K26" i="1"/>
  <c r="I27" i="1"/>
  <c r="J27" i="1"/>
  <c r="E27" i="1"/>
  <c r="F27" i="1" s="1"/>
  <c r="H27" i="1" s="1"/>
  <c r="D28" i="1"/>
  <c r="N26" i="1" l="1"/>
  <c r="O26" i="1"/>
  <c r="D29" i="1"/>
  <c r="J28" i="1"/>
  <c r="E28" i="1"/>
  <c r="F28" i="1" s="1"/>
  <c r="H28" i="1" s="1"/>
  <c r="M27" i="1"/>
  <c r="L27" i="1" s="1"/>
  <c r="K27" i="1"/>
  <c r="I28" i="1"/>
  <c r="O27" i="1" l="1"/>
  <c r="N27" i="1"/>
  <c r="I29" i="1"/>
  <c r="M28" i="1"/>
  <c r="L28" i="1" s="1"/>
  <c r="K28" i="1"/>
  <c r="J29" i="1"/>
  <c r="E29" i="1"/>
  <c r="F29" i="1" s="1"/>
  <c r="H29" i="1" s="1"/>
  <c r="D30" i="1"/>
  <c r="I30" i="1" l="1"/>
  <c r="O28" i="1"/>
  <c r="J30" i="1"/>
  <c r="E30" i="1"/>
  <c r="F30" i="1" s="1"/>
  <c r="H30" i="1" s="1"/>
  <c r="D31" i="1"/>
  <c r="M29" i="1"/>
  <c r="L29" i="1" s="1"/>
  <c r="K29" i="1"/>
  <c r="N28" i="1"/>
  <c r="I31" i="1" l="1"/>
  <c r="N29" i="1"/>
  <c r="E31" i="1"/>
  <c r="F31" i="1" s="1"/>
  <c r="H31" i="1" s="1"/>
  <c r="D32" i="1"/>
  <c r="J31" i="1"/>
  <c r="O29" i="1"/>
  <c r="M30" i="1"/>
  <c r="L30" i="1" s="1"/>
  <c r="K30" i="1"/>
  <c r="J32" i="1" l="1"/>
  <c r="E32" i="1"/>
  <c r="F32" i="1" s="1"/>
  <c r="H32" i="1" s="1"/>
  <c r="D33" i="1"/>
  <c r="O30" i="1"/>
  <c r="M31" i="1"/>
  <c r="L31" i="1" s="1"/>
  <c r="K31" i="1"/>
  <c r="N30" i="1"/>
  <c r="I32" i="1"/>
  <c r="I33" i="1" l="1"/>
  <c r="O31" i="1"/>
  <c r="N31" i="1"/>
  <c r="D34" i="1"/>
  <c r="J33" i="1"/>
  <c r="E33" i="1"/>
  <c r="F33" i="1" s="1"/>
  <c r="H33" i="1" s="1"/>
  <c r="M32" i="1"/>
  <c r="L32" i="1" s="1"/>
  <c r="K32" i="1"/>
  <c r="I34" i="1" l="1"/>
  <c r="N32" i="1"/>
  <c r="O32" i="1"/>
  <c r="M33" i="1"/>
  <c r="L33" i="1" s="1"/>
  <c r="K33" i="1"/>
  <c r="E34" i="1"/>
  <c r="F34" i="1" s="1"/>
  <c r="H34" i="1" s="1"/>
  <c r="D35" i="1"/>
  <c r="J34" i="1"/>
  <c r="I35" i="1" l="1"/>
  <c r="N33" i="1"/>
  <c r="J35" i="1"/>
  <c r="E35" i="1"/>
  <c r="F35" i="1" s="1"/>
  <c r="H35" i="1" s="1"/>
  <c r="D36" i="1"/>
  <c r="M34" i="1"/>
  <c r="L34" i="1" s="1"/>
  <c r="K34" i="1"/>
  <c r="O33" i="1"/>
  <c r="I36" i="1" l="1"/>
  <c r="O34" i="1"/>
  <c r="N34" i="1"/>
  <c r="D37" i="1"/>
  <c r="J36" i="1"/>
  <c r="E36" i="1"/>
  <c r="F36" i="1" s="1"/>
  <c r="H36" i="1" s="1"/>
  <c r="M35" i="1"/>
  <c r="L35" i="1" s="1"/>
  <c r="K35" i="1"/>
  <c r="N35" i="1" l="1"/>
  <c r="M36" i="1"/>
  <c r="L36" i="1" s="1"/>
  <c r="K36" i="1"/>
  <c r="J37" i="1"/>
  <c r="E37" i="1"/>
  <c r="F37" i="1" s="1"/>
  <c r="H37" i="1" s="1"/>
  <c r="D38" i="1"/>
  <c r="O35" i="1"/>
  <c r="I37" i="1"/>
  <c r="N36" i="1" l="1"/>
  <c r="O36" i="1"/>
  <c r="J38" i="1"/>
  <c r="E38" i="1"/>
  <c r="F38" i="1" s="1"/>
  <c r="H38" i="1" s="1"/>
  <c r="D39" i="1"/>
  <c r="M37" i="1"/>
  <c r="L37" i="1" s="1"/>
  <c r="K37" i="1"/>
  <c r="I38" i="1"/>
  <c r="I39" i="1" l="1"/>
  <c r="N37" i="1"/>
  <c r="O37" i="1"/>
  <c r="E39" i="1"/>
  <c r="F39" i="1" s="1"/>
  <c r="H39" i="1" s="1"/>
  <c r="D40" i="1"/>
  <c r="J39" i="1"/>
  <c r="M38" i="1"/>
  <c r="L38" i="1" s="1"/>
  <c r="K38" i="1"/>
  <c r="O38" i="1" l="1"/>
  <c r="J40" i="1"/>
  <c r="E40" i="1"/>
  <c r="F40" i="1" s="1"/>
  <c r="H40" i="1" s="1"/>
  <c r="D41" i="1"/>
  <c r="M39" i="1"/>
  <c r="L39" i="1" s="1"/>
  <c r="K39" i="1"/>
  <c r="N38" i="1"/>
  <c r="I40" i="1"/>
  <c r="I41" i="1" l="1"/>
  <c r="N39" i="1"/>
  <c r="D42" i="1"/>
  <c r="J41" i="1"/>
  <c r="E41" i="1"/>
  <c r="F41" i="1" s="1"/>
  <c r="H41" i="1" s="1"/>
  <c r="M40" i="1"/>
  <c r="L40" i="1" s="1"/>
  <c r="K40" i="1"/>
  <c r="O39" i="1"/>
  <c r="N40" i="1" l="1"/>
  <c r="O40" i="1"/>
  <c r="M41" i="1"/>
  <c r="L41" i="1" s="1"/>
  <c r="K41" i="1"/>
  <c r="E42" i="1"/>
  <c r="F42" i="1" s="1"/>
  <c r="H42" i="1" s="1"/>
  <c r="D43" i="1"/>
  <c r="J42" i="1"/>
  <c r="I42" i="1"/>
  <c r="J43" i="1" l="1"/>
  <c r="E43" i="1"/>
  <c r="F43" i="1" s="1"/>
  <c r="H43" i="1" s="1"/>
  <c r="D44" i="1"/>
  <c r="M42" i="1"/>
  <c r="L42" i="1" s="1"/>
  <c r="K42" i="1"/>
  <c r="N41" i="1"/>
  <c r="O41" i="1"/>
  <c r="I43" i="1"/>
  <c r="N42" i="1" l="1"/>
  <c r="O42" i="1"/>
  <c r="J44" i="1"/>
  <c r="E44" i="1"/>
  <c r="F44" i="1" s="1"/>
  <c r="H44" i="1" s="1"/>
  <c r="D45" i="1"/>
  <c r="I44" i="1"/>
  <c r="M43" i="1"/>
  <c r="L43" i="1" s="1"/>
  <c r="K43" i="1"/>
  <c r="I45" i="1" l="1"/>
  <c r="O43" i="1"/>
  <c r="J45" i="1"/>
  <c r="E45" i="1"/>
  <c r="F45" i="1" s="1"/>
  <c r="H45" i="1" s="1"/>
  <c r="D46" i="1"/>
  <c r="M44" i="1"/>
  <c r="L44" i="1" s="1"/>
  <c r="K44" i="1"/>
  <c r="N43" i="1"/>
  <c r="I46" i="1" l="1"/>
  <c r="O44" i="1"/>
  <c r="N44" i="1"/>
  <c r="J46" i="1"/>
  <c r="E46" i="1"/>
  <c r="F46" i="1" s="1"/>
  <c r="H46" i="1" s="1"/>
  <c r="D47" i="1"/>
  <c r="M45" i="1"/>
  <c r="L45" i="1" s="1"/>
  <c r="K45" i="1"/>
  <c r="N45" i="1" l="1"/>
  <c r="E47" i="1"/>
  <c r="F47" i="1" s="1"/>
  <c r="H47" i="1" s="1"/>
  <c r="D48" i="1"/>
  <c r="J47" i="1"/>
  <c r="M46" i="1"/>
  <c r="L46" i="1" s="1"/>
  <c r="K46" i="1"/>
  <c r="O45" i="1"/>
  <c r="I47" i="1"/>
  <c r="I48" i="1" l="1"/>
  <c r="N46" i="1"/>
  <c r="O46" i="1"/>
  <c r="M47" i="1"/>
  <c r="L47" i="1" s="1"/>
  <c r="K47" i="1"/>
  <c r="D49" i="1"/>
  <c r="E48" i="1"/>
  <c r="F48" i="1" s="1"/>
  <c r="H48" i="1" s="1"/>
  <c r="J48" i="1"/>
  <c r="I49" i="1" l="1"/>
  <c r="N47" i="1"/>
  <c r="O47" i="1"/>
  <c r="D50" i="1"/>
  <c r="J49" i="1"/>
  <c r="E49" i="1"/>
  <c r="F49" i="1" s="1"/>
  <c r="H49" i="1" s="1"/>
  <c r="M48" i="1"/>
  <c r="L48" i="1" s="1"/>
  <c r="K48" i="1"/>
  <c r="I50" i="1" l="1"/>
  <c r="O48" i="1"/>
  <c r="N48" i="1"/>
  <c r="M49" i="1"/>
  <c r="L49" i="1" s="1"/>
  <c r="K49" i="1"/>
  <c r="J50" i="1"/>
  <c r="D51" i="1"/>
  <c r="E50" i="1"/>
  <c r="F50" i="1" s="1"/>
  <c r="H50" i="1" s="1"/>
  <c r="I51" i="1" l="1"/>
  <c r="O49" i="1"/>
  <c r="M50" i="1"/>
  <c r="L50" i="1" s="1"/>
  <c r="K50" i="1"/>
  <c r="N49" i="1"/>
  <c r="E51" i="1"/>
  <c r="F51" i="1" s="1"/>
  <c r="H51" i="1" s="1"/>
  <c r="J51" i="1"/>
  <c r="D52" i="1"/>
  <c r="I52" i="1" l="1"/>
  <c r="N50" i="1"/>
  <c r="M51" i="1"/>
  <c r="L51" i="1" s="1"/>
  <c r="K51" i="1"/>
  <c r="J52" i="1"/>
  <c r="E52" i="1"/>
  <c r="F52" i="1" s="1"/>
  <c r="H52" i="1" s="1"/>
  <c r="D53" i="1"/>
  <c r="O50" i="1"/>
  <c r="I53" i="1" l="1"/>
  <c r="J53" i="1"/>
  <c r="D54" i="1"/>
  <c r="E53" i="1"/>
  <c r="F53" i="1" s="1"/>
  <c r="H53" i="1" s="1"/>
  <c r="M52" i="1"/>
  <c r="L52" i="1" s="1"/>
  <c r="K52" i="1"/>
  <c r="O51" i="1"/>
  <c r="N51" i="1"/>
  <c r="I54" i="1" l="1"/>
  <c r="N52" i="1"/>
  <c r="O52" i="1"/>
  <c r="E54" i="1"/>
  <c r="F54" i="1" s="1"/>
  <c r="H54" i="1" s="1"/>
  <c r="D55" i="1"/>
  <c r="J54" i="1"/>
  <c r="M53" i="1"/>
  <c r="L53" i="1" s="1"/>
  <c r="K53" i="1"/>
  <c r="M54" i="1" l="1"/>
  <c r="L54" i="1" s="1"/>
  <c r="K54" i="1"/>
  <c r="E55" i="1"/>
  <c r="F55" i="1" s="1"/>
  <c r="H55" i="1" s="1"/>
  <c r="D56" i="1"/>
  <c r="J55" i="1"/>
  <c r="O53" i="1"/>
  <c r="N53" i="1"/>
  <c r="I55" i="1"/>
  <c r="O54" i="1" l="1"/>
  <c r="M55" i="1"/>
  <c r="L55" i="1" s="1"/>
  <c r="K55" i="1"/>
  <c r="D57" i="1"/>
  <c r="J56" i="1"/>
  <c r="E56" i="1"/>
  <c r="F56" i="1" s="1"/>
  <c r="H56" i="1" s="1"/>
  <c r="I56" i="1"/>
  <c r="N54" i="1"/>
  <c r="I57" i="1" l="1"/>
  <c r="O55" i="1"/>
  <c r="M56" i="1"/>
  <c r="L56" i="1" s="1"/>
  <c r="K56" i="1"/>
  <c r="N55" i="1"/>
  <c r="D58" i="1"/>
  <c r="J57" i="1"/>
  <c r="E57" i="1"/>
  <c r="F57" i="1" s="1"/>
  <c r="H57" i="1" s="1"/>
  <c r="N56" i="1" l="1"/>
  <c r="M57" i="1"/>
  <c r="L57" i="1" s="1"/>
  <c r="K57" i="1"/>
  <c r="J58" i="1"/>
  <c r="D59" i="1"/>
  <c r="E58" i="1"/>
  <c r="F58" i="1" s="1"/>
  <c r="H58" i="1" s="1"/>
  <c r="O56" i="1"/>
  <c r="I58" i="1"/>
  <c r="O57" i="1" l="1"/>
  <c r="M58" i="1"/>
  <c r="L58" i="1" s="1"/>
  <c r="K58" i="1"/>
  <c r="E59" i="1"/>
  <c r="F59" i="1" s="1"/>
  <c r="H59" i="1" s="1"/>
  <c r="J59" i="1"/>
  <c r="D60" i="1"/>
  <c r="N57" i="1"/>
  <c r="I59" i="1"/>
  <c r="O58" i="1" l="1"/>
  <c r="J60" i="1"/>
  <c r="E60" i="1"/>
  <c r="F60" i="1" s="1"/>
  <c r="H60" i="1" s="1"/>
  <c r="D61" i="1"/>
  <c r="M59" i="1"/>
  <c r="L59" i="1" s="1"/>
  <c r="K59" i="1"/>
  <c r="N58" i="1"/>
  <c r="I60" i="1"/>
  <c r="I61" i="1" l="1"/>
  <c r="J61" i="1"/>
  <c r="D62" i="1"/>
  <c r="E61" i="1"/>
  <c r="F61" i="1" s="1"/>
  <c r="H61" i="1" s="1"/>
  <c r="O59" i="1"/>
  <c r="N59" i="1"/>
  <c r="M60" i="1"/>
  <c r="L60" i="1" s="1"/>
  <c r="K60" i="1"/>
  <c r="I62" i="1" l="1"/>
  <c r="O60" i="1"/>
  <c r="E62" i="1"/>
  <c r="F62" i="1" s="1"/>
  <c r="H62" i="1" s="1"/>
  <c r="D63" i="1"/>
  <c r="J62" i="1"/>
  <c r="N60" i="1"/>
  <c r="M61" i="1"/>
  <c r="L61" i="1" s="1"/>
  <c r="K61" i="1"/>
  <c r="M62" i="1" l="1"/>
  <c r="L62" i="1" s="1"/>
  <c r="K62" i="1"/>
  <c r="E63" i="1"/>
  <c r="F63" i="1" s="1"/>
  <c r="H63" i="1" s="1"/>
  <c r="D64" i="1"/>
  <c r="J63" i="1"/>
  <c r="O61" i="1"/>
  <c r="N61" i="1"/>
  <c r="I63" i="1"/>
  <c r="O62" i="1" l="1"/>
  <c r="M63" i="1"/>
  <c r="L63" i="1" s="1"/>
  <c r="K63" i="1"/>
  <c r="D65" i="1"/>
  <c r="J64" i="1"/>
  <c r="E64" i="1"/>
  <c r="F64" i="1" s="1"/>
  <c r="H64" i="1" s="1"/>
  <c r="I64" i="1"/>
  <c r="N62" i="1"/>
  <c r="O63" i="1" l="1"/>
  <c r="I65" i="1"/>
  <c r="M64" i="1"/>
  <c r="L64" i="1" s="1"/>
  <c r="K64" i="1"/>
  <c r="N63" i="1"/>
  <c r="J65" i="1"/>
  <c r="D66" i="1"/>
  <c r="E65" i="1"/>
  <c r="F65" i="1" s="1"/>
  <c r="H65" i="1" s="1"/>
  <c r="N64" i="1" l="1"/>
  <c r="J66" i="1"/>
  <c r="D67" i="1"/>
  <c r="E66" i="1"/>
  <c r="F66" i="1" s="1"/>
  <c r="H66" i="1" s="1"/>
  <c r="M65" i="1"/>
  <c r="L65" i="1" s="1"/>
  <c r="K65" i="1"/>
  <c r="O64" i="1"/>
  <c r="I66" i="1"/>
  <c r="I67" i="1" l="1"/>
  <c r="O65" i="1"/>
  <c r="N65" i="1"/>
  <c r="E67" i="1"/>
  <c r="F67" i="1" s="1"/>
  <c r="H67" i="1" s="1"/>
  <c r="J67" i="1"/>
  <c r="D68" i="1"/>
  <c r="M66" i="1"/>
  <c r="L66" i="1" s="1"/>
  <c r="K66" i="1"/>
  <c r="I68" i="1" l="1"/>
  <c r="N66" i="1"/>
  <c r="O66" i="1"/>
  <c r="E68" i="1"/>
  <c r="F68" i="1" s="1"/>
  <c r="H68" i="1" s="1"/>
  <c r="J68" i="1"/>
  <c r="D69" i="1"/>
  <c r="M67" i="1"/>
  <c r="L67" i="1" s="1"/>
  <c r="K67" i="1"/>
  <c r="I69" i="1" l="1"/>
  <c r="O67" i="1"/>
  <c r="N67" i="1"/>
  <c r="D70" i="1"/>
  <c r="J69" i="1"/>
  <c r="E69" i="1"/>
  <c r="F69" i="1" s="1"/>
  <c r="H69" i="1" s="1"/>
  <c r="M68" i="1"/>
  <c r="L68" i="1" s="1"/>
  <c r="K68" i="1"/>
  <c r="I70" i="1" l="1"/>
  <c r="O68" i="1"/>
  <c r="N68" i="1"/>
  <c r="M69" i="1"/>
  <c r="L69" i="1" s="1"/>
  <c r="K69" i="1"/>
  <c r="D71" i="1"/>
  <c r="E70" i="1"/>
  <c r="F70" i="1" s="1"/>
  <c r="H70" i="1" s="1"/>
  <c r="J70" i="1"/>
  <c r="N69" i="1" l="1"/>
  <c r="M70" i="1"/>
  <c r="L70" i="1" s="1"/>
  <c r="K70" i="1"/>
  <c r="E71" i="1"/>
  <c r="F71" i="1" s="1"/>
  <c r="H71" i="1" s="1"/>
  <c r="D72" i="1"/>
  <c r="J71" i="1"/>
  <c r="O69" i="1"/>
  <c r="I71" i="1"/>
  <c r="I72" i="1" l="1"/>
  <c r="M71" i="1"/>
  <c r="L71" i="1" s="1"/>
  <c r="K71" i="1"/>
  <c r="D73" i="1"/>
  <c r="J72" i="1"/>
  <c r="E72" i="1"/>
  <c r="F72" i="1" s="1"/>
  <c r="H72" i="1" s="1"/>
  <c r="O70" i="1"/>
  <c r="N70" i="1"/>
  <c r="O71" i="1" l="1"/>
  <c r="I73" i="1"/>
  <c r="M72" i="1"/>
  <c r="L72" i="1" s="1"/>
  <c r="K72" i="1"/>
  <c r="J73" i="1"/>
  <c r="D74" i="1"/>
  <c r="E73" i="1"/>
  <c r="F73" i="1" s="1"/>
  <c r="H73" i="1" s="1"/>
  <c r="N71" i="1"/>
  <c r="I74" i="1" l="1"/>
  <c r="O72" i="1"/>
  <c r="J74" i="1"/>
  <c r="D75" i="1"/>
  <c r="E74" i="1"/>
  <c r="F74" i="1" s="1"/>
  <c r="H74" i="1" s="1"/>
  <c r="M73" i="1"/>
  <c r="L73" i="1" s="1"/>
  <c r="K73" i="1"/>
  <c r="N72" i="1"/>
  <c r="N73" i="1" l="1"/>
  <c r="E75" i="1"/>
  <c r="F75" i="1" s="1"/>
  <c r="H75" i="1" s="1"/>
  <c r="J75" i="1"/>
  <c r="D76" i="1"/>
  <c r="M74" i="1"/>
  <c r="L74" i="1" s="1"/>
  <c r="K74" i="1"/>
  <c r="I75" i="1"/>
  <c r="O73" i="1"/>
  <c r="I76" i="1" l="1"/>
  <c r="N74" i="1"/>
  <c r="E76" i="1"/>
  <c r="F76" i="1" s="1"/>
  <c r="H76" i="1" s="1"/>
  <c r="J76" i="1"/>
  <c r="D77" i="1"/>
  <c r="M75" i="1"/>
  <c r="L75" i="1" s="1"/>
  <c r="K75" i="1"/>
  <c r="O74" i="1"/>
  <c r="N75" i="1" l="1"/>
  <c r="D78" i="1"/>
  <c r="J77" i="1"/>
  <c r="E77" i="1"/>
  <c r="F77" i="1" s="1"/>
  <c r="H77" i="1" s="1"/>
  <c r="M76" i="1"/>
  <c r="L76" i="1" s="1"/>
  <c r="K76" i="1"/>
  <c r="O75" i="1"/>
  <c r="I77" i="1"/>
  <c r="O76" i="1" l="1"/>
  <c r="I78" i="1"/>
  <c r="N76" i="1"/>
  <c r="M77" i="1"/>
  <c r="L77" i="1" s="1"/>
  <c r="K77" i="1"/>
  <c r="D79" i="1"/>
  <c r="J78" i="1"/>
  <c r="E78" i="1"/>
  <c r="F78" i="1" s="1"/>
  <c r="H78" i="1" s="1"/>
  <c r="I79" i="1" l="1"/>
  <c r="E79" i="1"/>
  <c r="F79" i="1" s="1"/>
  <c r="H79" i="1" s="1"/>
  <c r="D80" i="1"/>
  <c r="J79" i="1"/>
  <c r="M78" i="1"/>
  <c r="L78" i="1" s="1"/>
  <c r="K78" i="1"/>
  <c r="N77" i="1"/>
  <c r="O77" i="1"/>
  <c r="I80" i="1" l="1"/>
  <c r="N78" i="1"/>
  <c r="M79" i="1"/>
  <c r="L79" i="1" s="1"/>
  <c r="K79" i="1"/>
  <c r="D81" i="1"/>
  <c r="J80" i="1"/>
  <c r="E80" i="1"/>
  <c r="F80" i="1" s="1"/>
  <c r="H80" i="1" s="1"/>
  <c r="O78" i="1"/>
  <c r="N79" i="1" l="1"/>
  <c r="M80" i="1"/>
  <c r="L80" i="1" s="1"/>
  <c r="K80" i="1"/>
  <c r="J81" i="1"/>
  <c r="D82" i="1"/>
  <c r="E81" i="1"/>
  <c r="F81" i="1" s="1"/>
  <c r="H81" i="1" s="1"/>
  <c r="O79" i="1"/>
  <c r="I81" i="1"/>
  <c r="N80" i="1" l="1"/>
  <c r="J82" i="1"/>
  <c r="D83" i="1"/>
  <c r="E82" i="1"/>
  <c r="F82" i="1" s="1"/>
  <c r="H82" i="1" s="1"/>
  <c r="M81" i="1"/>
  <c r="L81" i="1" s="1"/>
  <c r="K81" i="1"/>
  <c r="I82" i="1"/>
  <c r="O80" i="1"/>
  <c r="I83" i="1" l="1"/>
  <c r="O81" i="1"/>
  <c r="N81" i="1"/>
  <c r="E83" i="1"/>
  <c r="F83" i="1" s="1"/>
  <c r="H83" i="1" s="1"/>
  <c r="J83" i="1"/>
  <c r="D84" i="1"/>
  <c r="M82" i="1"/>
  <c r="L82" i="1" s="1"/>
  <c r="K82" i="1"/>
  <c r="N82" i="1" l="1"/>
  <c r="E84" i="1"/>
  <c r="F84" i="1" s="1"/>
  <c r="H84" i="1" s="1"/>
  <c r="J84" i="1"/>
  <c r="D85" i="1"/>
  <c r="M83" i="1"/>
  <c r="L83" i="1" s="1"/>
  <c r="K83" i="1"/>
  <c r="O82" i="1"/>
  <c r="I84" i="1"/>
  <c r="N83" i="1" l="1"/>
  <c r="D86" i="1"/>
  <c r="J85" i="1"/>
  <c r="E85" i="1"/>
  <c r="F85" i="1" s="1"/>
  <c r="H85" i="1" s="1"/>
  <c r="O83" i="1"/>
  <c r="M84" i="1"/>
  <c r="L84" i="1" s="1"/>
  <c r="K84" i="1"/>
  <c r="I85" i="1"/>
  <c r="I86" i="1" l="1"/>
  <c r="O84" i="1"/>
  <c r="N84" i="1"/>
  <c r="M85" i="1"/>
  <c r="L85" i="1" s="1"/>
  <c r="K85" i="1"/>
  <c r="D87" i="1"/>
  <c r="E86" i="1"/>
  <c r="F86" i="1" s="1"/>
  <c r="H86" i="1" s="1"/>
  <c r="J86" i="1"/>
  <c r="O85" i="1" l="1"/>
  <c r="M86" i="1"/>
  <c r="L86" i="1" s="1"/>
  <c r="K86" i="1"/>
  <c r="E87" i="1"/>
  <c r="F87" i="1" s="1"/>
  <c r="H87" i="1" s="1"/>
  <c r="D88" i="1"/>
  <c r="J87" i="1"/>
  <c r="I87" i="1"/>
  <c r="N85" i="1"/>
  <c r="O86" i="1" l="1"/>
  <c r="I88" i="1"/>
  <c r="M87" i="1"/>
  <c r="L87" i="1" s="1"/>
  <c r="K87" i="1"/>
  <c r="D89" i="1"/>
  <c r="J88" i="1"/>
  <c r="E88" i="1"/>
  <c r="F88" i="1" s="1"/>
  <c r="H88" i="1" s="1"/>
  <c r="N86" i="1"/>
  <c r="N87" i="1" l="1"/>
  <c r="O87" i="1"/>
  <c r="M88" i="1"/>
  <c r="L88" i="1" s="1"/>
  <c r="K88" i="1"/>
  <c r="J89" i="1"/>
  <c r="D90" i="1"/>
  <c r="E89" i="1"/>
  <c r="F89" i="1" s="1"/>
  <c r="H89" i="1" s="1"/>
  <c r="I89" i="1"/>
  <c r="I90" i="1" l="1"/>
  <c r="O88" i="1"/>
  <c r="J90" i="1"/>
  <c r="D91" i="1"/>
  <c r="E90" i="1"/>
  <c r="F90" i="1" s="1"/>
  <c r="H90" i="1" s="1"/>
  <c r="M89" i="1"/>
  <c r="L89" i="1" s="1"/>
  <c r="K89" i="1"/>
  <c r="N88" i="1"/>
  <c r="N89" i="1" l="1"/>
  <c r="E91" i="1"/>
  <c r="F91" i="1" s="1"/>
  <c r="H91" i="1" s="1"/>
  <c r="J91" i="1"/>
  <c r="D92" i="1"/>
  <c r="M90" i="1"/>
  <c r="L90" i="1" s="1"/>
  <c r="K90" i="1"/>
  <c r="O89" i="1"/>
  <c r="I91" i="1"/>
  <c r="N90" i="1" l="1"/>
  <c r="E92" i="1"/>
  <c r="F92" i="1" s="1"/>
  <c r="H92" i="1" s="1"/>
  <c r="J92" i="1"/>
  <c r="D93" i="1"/>
  <c r="M91" i="1"/>
  <c r="L91" i="1" s="1"/>
  <c r="K91" i="1"/>
  <c r="I92" i="1"/>
  <c r="O90" i="1"/>
  <c r="O91" i="1" l="1"/>
  <c r="N91" i="1"/>
  <c r="D94" i="1"/>
  <c r="J93" i="1"/>
  <c r="E93" i="1"/>
  <c r="F93" i="1" s="1"/>
  <c r="H93" i="1" s="1"/>
  <c r="M92" i="1"/>
  <c r="L92" i="1" s="1"/>
  <c r="K92" i="1"/>
  <c r="I93" i="1"/>
  <c r="O92" i="1" l="1"/>
  <c r="N92" i="1"/>
  <c r="M93" i="1"/>
  <c r="L93" i="1" s="1"/>
  <c r="K93" i="1"/>
  <c r="E94" i="1"/>
  <c r="F94" i="1" s="1"/>
  <c r="H94" i="1" s="1"/>
  <c r="J94" i="1"/>
  <c r="D95" i="1"/>
  <c r="I94" i="1"/>
  <c r="O93" i="1" l="1"/>
  <c r="N93" i="1"/>
  <c r="J95" i="1"/>
  <c r="D96" i="1"/>
  <c r="E95" i="1"/>
  <c r="F95" i="1" s="1"/>
  <c r="H95" i="1" s="1"/>
  <c r="M94" i="1"/>
  <c r="L94" i="1" s="1"/>
  <c r="K94" i="1"/>
  <c r="I95" i="1"/>
  <c r="N94" i="1" l="1"/>
  <c r="E96" i="1"/>
  <c r="F96" i="1" s="1"/>
  <c r="H96" i="1" s="1"/>
  <c r="J96" i="1"/>
  <c r="D97" i="1"/>
  <c r="M95" i="1"/>
  <c r="L95" i="1" s="1"/>
  <c r="K95" i="1"/>
  <c r="I96" i="1"/>
  <c r="O94" i="1"/>
  <c r="O95" i="1" l="1"/>
  <c r="N95" i="1"/>
  <c r="D98" i="1"/>
  <c r="J97" i="1"/>
  <c r="E97" i="1"/>
  <c r="F97" i="1" s="1"/>
  <c r="H97" i="1" s="1"/>
  <c r="M96" i="1"/>
  <c r="L96" i="1" s="1"/>
  <c r="K96" i="1"/>
  <c r="I97" i="1"/>
  <c r="I98" i="1" l="1"/>
  <c r="O96" i="1"/>
  <c r="N96" i="1"/>
  <c r="M97" i="1"/>
  <c r="L97" i="1" s="1"/>
  <c r="K97" i="1"/>
  <c r="J98" i="1"/>
  <c r="E98" i="1"/>
  <c r="F98" i="1" s="1"/>
  <c r="H98" i="1" s="1"/>
  <c r="D99" i="1"/>
  <c r="M98" i="1" l="1"/>
  <c r="L98" i="1" s="1"/>
  <c r="K98" i="1"/>
  <c r="I99" i="1"/>
  <c r="N97" i="1"/>
  <c r="O97" i="1"/>
  <c r="E99" i="1"/>
  <c r="F99" i="1" s="1"/>
  <c r="H99" i="1" s="1"/>
  <c r="J99" i="1"/>
  <c r="D100" i="1"/>
  <c r="E100" i="1" l="1"/>
  <c r="F100" i="1" s="1"/>
  <c r="H100" i="1" s="1"/>
  <c r="J100" i="1"/>
  <c r="D101" i="1"/>
  <c r="I100" i="1"/>
  <c r="M99" i="1"/>
  <c r="L99" i="1" s="1"/>
  <c r="K99" i="1"/>
  <c r="O98" i="1"/>
  <c r="N98" i="1"/>
  <c r="I101" i="1" l="1"/>
  <c r="N99" i="1"/>
  <c r="O99" i="1"/>
  <c r="J101" i="1"/>
  <c r="D102" i="1"/>
  <c r="E101" i="1"/>
  <c r="F101" i="1" s="1"/>
  <c r="H101" i="1" s="1"/>
  <c r="M100" i="1"/>
  <c r="L100" i="1" s="1"/>
  <c r="K100" i="1"/>
  <c r="E102" i="1" l="1"/>
  <c r="F102" i="1" s="1"/>
  <c r="H102" i="1" s="1"/>
  <c r="D103" i="1"/>
  <c r="J102" i="1"/>
  <c r="N100" i="1"/>
  <c r="M101" i="1"/>
  <c r="L101" i="1" s="1"/>
  <c r="K101" i="1"/>
  <c r="O100" i="1"/>
  <c r="I102" i="1"/>
  <c r="I103" i="1" l="1"/>
  <c r="N101" i="1"/>
  <c r="M102" i="1"/>
  <c r="L102" i="1" s="1"/>
  <c r="K102" i="1"/>
  <c r="E103" i="1"/>
  <c r="F103" i="1" s="1"/>
  <c r="H103" i="1" s="1"/>
  <c r="J103" i="1"/>
  <c r="D104" i="1"/>
  <c r="O101" i="1"/>
  <c r="I104" i="1" l="1"/>
  <c r="O102" i="1"/>
  <c r="J104" i="1"/>
  <c r="E104" i="1"/>
  <c r="F104" i="1" s="1"/>
  <c r="H104" i="1" s="1"/>
  <c r="D105" i="1"/>
  <c r="M103" i="1"/>
  <c r="L103" i="1" s="1"/>
  <c r="K103" i="1"/>
  <c r="N102" i="1"/>
  <c r="I105" i="1" l="1"/>
  <c r="N103" i="1"/>
  <c r="O103" i="1"/>
  <c r="D106" i="1"/>
  <c r="J105" i="1"/>
  <c r="E105" i="1"/>
  <c r="F105" i="1" s="1"/>
  <c r="H105" i="1" s="1"/>
  <c r="M104" i="1"/>
  <c r="L104" i="1" s="1"/>
  <c r="K104" i="1"/>
  <c r="N104" i="1" l="1"/>
  <c r="J106" i="1"/>
  <c r="E106" i="1"/>
  <c r="F106" i="1" s="1"/>
  <c r="H106" i="1" s="1"/>
  <c r="D107" i="1"/>
  <c r="O104" i="1"/>
  <c r="M105" i="1"/>
  <c r="L105" i="1" s="1"/>
  <c r="K105" i="1"/>
  <c r="I106" i="1"/>
  <c r="N105" i="1" l="1"/>
  <c r="E107" i="1"/>
  <c r="F107" i="1" s="1"/>
  <c r="H107" i="1" s="1"/>
  <c r="J107" i="1"/>
  <c r="D108" i="1"/>
  <c r="M106" i="1"/>
  <c r="L106" i="1" s="1"/>
  <c r="K106" i="1"/>
  <c r="I107" i="1"/>
  <c r="O105" i="1"/>
  <c r="N106" i="1" l="1"/>
  <c r="O106" i="1"/>
  <c r="E108" i="1"/>
  <c r="F108" i="1" s="1"/>
  <c r="H108" i="1" s="1"/>
  <c r="J108" i="1"/>
  <c r="D109" i="1"/>
  <c r="M107" i="1"/>
  <c r="L107" i="1" s="1"/>
  <c r="K107" i="1"/>
  <c r="I108" i="1"/>
  <c r="N107" i="1" l="1"/>
  <c r="J109" i="1"/>
  <c r="D110" i="1"/>
  <c r="E109" i="1"/>
  <c r="F109" i="1" s="1"/>
  <c r="H109" i="1" s="1"/>
  <c r="M108" i="1"/>
  <c r="L108" i="1" s="1"/>
  <c r="K108" i="1"/>
  <c r="I109" i="1"/>
  <c r="O107" i="1"/>
  <c r="I110" i="1" l="1"/>
  <c r="O108" i="1"/>
  <c r="N108" i="1"/>
  <c r="J110" i="1"/>
  <c r="E110" i="1"/>
  <c r="F110" i="1" s="1"/>
  <c r="H110" i="1" s="1"/>
  <c r="D111" i="1"/>
  <c r="M109" i="1"/>
  <c r="L109" i="1" s="1"/>
  <c r="K109" i="1"/>
  <c r="E111" i="1" l="1"/>
  <c r="F111" i="1" s="1"/>
  <c r="H111" i="1" s="1"/>
  <c r="J111" i="1"/>
  <c r="D112" i="1"/>
  <c r="M110" i="1"/>
  <c r="L110" i="1" s="1"/>
  <c r="K110" i="1"/>
  <c r="O109" i="1"/>
  <c r="N109" i="1"/>
  <c r="I111" i="1"/>
  <c r="O110" i="1" l="1"/>
  <c r="I112" i="1"/>
  <c r="N110" i="1"/>
  <c r="J112" i="1"/>
  <c r="E112" i="1"/>
  <c r="F112" i="1" s="1"/>
  <c r="H112" i="1" s="1"/>
  <c r="D113" i="1"/>
  <c r="M111" i="1"/>
  <c r="L111" i="1" s="1"/>
  <c r="K111" i="1"/>
  <c r="I113" i="1" l="1"/>
  <c r="M112" i="1"/>
  <c r="L112" i="1" s="1"/>
  <c r="K112" i="1"/>
  <c r="N111" i="1"/>
  <c r="D114" i="1"/>
  <c r="J113" i="1"/>
  <c r="E113" i="1"/>
  <c r="F113" i="1" s="1"/>
  <c r="H113" i="1" s="1"/>
  <c r="O111" i="1"/>
  <c r="N112" i="1" l="1"/>
  <c r="J114" i="1"/>
  <c r="E114" i="1"/>
  <c r="F114" i="1" s="1"/>
  <c r="H114" i="1" s="1"/>
  <c r="D115" i="1"/>
  <c r="M113" i="1"/>
  <c r="L113" i="1" s="1"/>
  <c r="K113" i="1"/>
  <c r="O112" i="1"/>
  <c r="I114" i="1"/>
  <c r="I115" i="1" l="1"/>
  <c r="O113" i="1"/>
  <c r="M114" i="1"/>
  <c r="L114" i="1" s="1"/>
  <c r="K114" i="1"/>
  <c r="N113" i="1"/>
  <c r="E115" i="1"/>
  <c r="F115" i="1" s="1"/>
  <c r="H115" i="1" s="1"/>
  <c r="J115" i="1"/>
  <c r="D116" i="1"/>
  <c r="O114" i="1" l="1"/>
  <c r="M115" i="1"/>
  <c r="L115" i="1" s="1"/>
  <c r="K115" i="1"/>
  <c r="N114" i="1"/>
  <c r="E116" i="1"/>
  <c r="F116" i="1" s="1"/>
  <c r="H116" i="1" s="1"/>
  <c r="J116" i="1"/>
  <c r="D117" i="1"/>
  <c r="I116" i="1"/>
  <c r="I117" i="1" l="1"/>
  <c r="O115" i="1"/>
  <c r="J117" i="1"/>
  <c r="D118" i="1"/>
  <c r="E117" i="1"/>
  <c r="F117" i="1" s="1"/>
  <c r="H117" i="1" s="1"/>
  <c r="M116" i="1"/>
  <c r="L116" i="1" s="1"/>
  <c r="K116" i="1"/>
  <c r="N115" i="1"/>
  <c r="I118" i="1" l="1"/>
  <c r="N116" i="1"/>
  <c r="O116" i="1"/>
  <c r="E118" i="1"/>
  <c r="F118" i="1" s="1"/>
  <c r="H118" i="1" s="1"/>
  <c r="D119" i="1"/>
  <c r="J118" i="1"/>
  <c r="M117" i="1"/>
  <c r="L117" i="1" s="1"/>
  <c r="K117" i="1"/>
  <c r="I119" i="1" l="1"/>
  <c r="N117" i="1"/>
  <c r="M118" i="1"/>
  <c r="L118" i="1" s="1"/>
  <c r="K118" i="1"/>
  <c r="E119" i="1"/>
  <c r="F119" i="1" s="1"/>
  <c r="H119" i="1" s="1"/>
  <c r="J119" i="1"/>
  <c r="D120" i="1"/>
  <c r="O117" i="1"/>
  <c r="N118" i="1" l="1"/>
  <c r="M119" i="1"/>
  <c r="L119" i="1" s="1"/>
  <c r="K119" i="1"/>
  <c r="O118" i="1"/>
  <c r="I120" i="1"/>
  <c r="J120" i="1"/>
  <c r="E120" i="1"/>
  <c r="F120" i="1" s="1"/>
  <c r="H120" i="1" s="1"/>
  <c r="D121" i="1"/>
  <c r="O119" i="1" l="1"/>
  <c r="I121" i="1"/>
  <c r="M120" i="1"/>
  <c r="L120" i="1" s="1"/>
  <c r="K120" i="1"/>
  <c r="D122" i="1"/>
  <c r="J121" i="1"/>
  <c r="E121" i="1"/>
  <c r="F121" i="1" s="1"/>
  <c r="H121" i="1" s="1"/>
  <c r="N119" i="1"/>
  <c r="N120" i="1" l="1"/>
  <c r="J122" i="1"/>
  <c r="E122" i="1"/>
  <c r="F122" i="1" s="1"/>
  <c r="H122" i="1" s="1"/>
  <c r="D123" i="1"/>
  <c r="M121" i="1"/>
  <c r="L121" i="1" s="1"/>
  <c r="K121" i="1"/>
  <c r="O120" i="1"/>
  <c r="I122" i="1"/>
  <c r="O121" i="1" l="1"/>
  <c r="I123" i="1"/>
  <c r="N121" i="1"/>
  <c r="E123" i="1"/>
  <c r="F123" i="1" s="1"/>
  <c r="H123" i="1" s="1"/>
  <c r="J123" i="1"/>
  <c r="D124" i="1"/>
  <c r="M122" i="1"/>
  <c r="L122" i="1" s="1"/>
  <c r="K122" i="1"/>
  <c r="O122" i="1" l="1"/>
  <c r="N122" i="1"/>
  <c r="E124" i="1"/>
  <c r="F124" i="1" s="1"/>
  <c r="H124" i="1" s="1"/>
  <c r="J124" i="1"/>
  <c r="D125" i="1"/>
  <c r="M123" i="1"/>
  <c r="L123" i="1" s="1"/>
  <c r="K123" i="1"/>
  <c r="I124" i="1"/>
  <c r="N123" i="1" l="1"/>
  <c r="M124" i="1"/>
  <c r="L124" i="1" s="1"/>
  <c r="K124" i="1"/>
  <c r="I125" i="1"/>
  <c r="J125" i="1"/>
  <c r="D126" i="1"/>
  <c r="E125" i="1"/>
  <c r="F125" i="1" s="1"/>
  <c r="H125" i="1" s="1"/>
  <c r="O123" i="1"/>
  <c r="O124" i="1" l="1"/>
  <c r="N124" i="1"/>
  <c r="I126" i="1"/>
  <c r="M125" i="1"/>
  <c r="L125" i="1" s="1"/>
  <c r="K125" i="1"/>
  <c r="J126" i="1"/>
  <c r="E126" i="1"/>
  <c r="F126" i="1" s="1"/>
  <c r="H126" i="1" s="1"/>
  <c r="D127" i="1"/>
  <c r="O125" i="1" l="1"/>
  <c r="M126" i="1"/>
  <c r="L126" i="1" s="1"/>
  <c r="K126" i="1"/>
  <c r="E127" i="1"/>
  <c r="F127" i="1" s="1"/>
  <c r="H127" i="1" s="1"/>
  <c r="J127" i="1"/>
  <c r="D128" i="1"/>
  <c r="N125" i="1"/>
  <c r="I127" i="1"/>
  <c r="M127" i="1" l="1"/>
  <c r="L127" i="1" s="1"/>
  <c r="K127" i="1"/>
  <c r="J128" i="1"/>
  <c r="E128" i="1"/>
  <c r="F128" i="1" s="1"/>
  <c r="H128" i="1" s="1"/>
  <c r="D129" i="1"/>
  <c r="N126" i="1"/>
  <c r="I128" i="1"/>
  <c r="O126" i="1"/>
  <c r="O127" i="1" l="1"/>
  <c r="D130" i="1"/>
  <c r="J129" i="1"/>
  <c r="E129" i="1"/>
  <c r="F129" i="1" s="1"/>
  <c r="H129" i="1" s="1"/>
  <c r="M128" i="1"/>
  <c r="L128" i="1" s="1"/>
  <c r="K128" i="1"/>
  <c r="N127" i="1"/>
  <c r="I129" i="1"/>
  <c r="I130" i="1" l="1"/>
  <c r="N128" i="1"/>
  <c r="O128" i="1"/>
  <c r="M129" i="1"/>
  <c r="L129" i="1" s="1"/>
  <c r="K129" i="1"/>
  <c r="J130" i="1"/>
  <c r="E130" i="1"/>
  <c r="F130" i="1" s="1"/>
  <c r="H130" i="1" s="1"/>
  <c r="D131" i="1"/>
  <c r="I131" i="1" l="1"/>
  <c r="N129" i="1"/>
  <c r="M130" i="1"/>
  <c r="L130" i="1" s="1"/>
  <c r="K130" i="1"/>
  <c r="O129" i="1"/>
  <c r="E131" i="1"/>
  <c r="F131" i="1" s="1"/>
  <c r="H131" i="1" s="1"/>
  <c r="J131" i="1"/>
  <c r="D132" i="1"/>
  <c r="E132" i="1" l="1"/>
  <c r="F132" i="1" s="1"/>
  <c r="H132" i="1" s="1"/>
  <c r="J132" i="1"/>
  <c r="D133" i="1"/>
  <c r="M131" i="1"/>
  <c r="L131" i="1" s="1"/>
  <c r="K131" i="1"/>
  <c r="O130" i="1"/>
  <c r="I132" i="1"/>
  <c r="N130" i="1"/>
  <c r="I133" i="1" l="1"/>
  <c r="N131" i="1"/>
  <c r="O131" i="1"/>
  <c r="J133" i="1"/>
  <c r="D134" i="1"/>
  <c r="E133" i="1"/>
  <c r="F133" i="1" s="1"/>
  <c r="H133" i="1" s="1"/>
  <c r="M132" i="1"/>
  <c r="L132" i="1" s="1"/>
  <c r="K132" i="1"/>
  <c r="I134" i="1" l="1"/>
  <c r="N132" i="1"/>
  <c r="E134" i="1"/>
  <c r="F134" i="1" s="1"/>
  <c r="H134" i="1" s="1"/>
  <c r="D135" i="1"/>
  <c r="J134" i="1"/>
  <c r="M133" i="1"/>
  <c r="L133" i="1" s="1"/>
  <c r="K133" i="1"/>
  <c r="O132" i="1"/>
  <c r="I135" i="1" l="1"/>
  <c r="O133" i="1"/>
  <c r="N133" i="1"/>
  <c r="M134" i="1"/>
  <c r="L134" i="1" s="1"/>
  <c r="K134" i="1"/>
  <c r="E135" i="1"/>
  <c r="F135" i="1" s="1"/>
  <c r="H135" i="1" s="1"/>
  <c r="J135" i="1"/>
  <c r="D136" i="1"/>
  <c r="N134" i="1" l="1"/>
  <c r="J136" i="1"/>
  <c r="E136" i="1"/>
  <c r="F136" i="1" s="1"/>
  <c r="H136" i="1" s="1"/>
  <c r="D137" i="1"/>
  <c r="M135" i="1"/>
  <c r="L135" i="1" s="1"/>
  <c r="K135" i="1"/>
  <c r="O134" i="1"/>
  <c r="I136" i="1"/>
  <c r="I137" i="1" l="1"/>
  <c r="N135" i="1"/>
  <c r="D138" i="1"/>
  <c r="J137" i="1"/>
  <c r="E137" i="1"/>
  <c r="F137" i="1" s="1"/>
  <c r="H137" i="1" s="1"/>
  <c r="M136" i="1"/>
  <c r="L136" i="1" s="1"/>
  <c r="K136" i="1"/>
  <c r="O135" i="1"/>
  <c r="N136" i="1" l="1"/>
  <c r="O136" i="1"/>
  <c r="J138" i="1"/>
  <c r="E138" i="1"/>
  <c r="F138" i="1" s="1"/>
  <c r="H138" i="1" s="1"/>
  <c r="D139" i="1"/>
  <c r="M137" i="1"/>
  <c r="L137" i="1" s="1"/>
  <c r="K137" i="1"/>
  <c r="I138" i="1"/>
  <c r="I139" i="1" l="1"/>
  <c r="N137" i="1"/>
  <c r="O137" i="1"/>
  <c r="E139" i="1"/>
  <c r="F139" i="1" s="1"/>
  <c r="H139" i="1" s="1"/>
  <c r="J139" i="1"/>
  <c r="D140" i="1"/>
  <c r="M138" i="1"/>
  <c r="L138" i="1" s="1"/>
  <c r="K138" i="1"/>
  <c r="M139" i="1" l="1"/>
  <c r="L139" i="1" s="1"/>
  <c r="K139" i="1"/>
  <c r="N138" i="1"/>
  <c r="E140" i="1"/>
  <c r="F140" i="1" s="1"/>
  <c r="H140" i="1" s="1"/>
  <c r="J140" i="1"/>
  <c r="D141" i="1"/>
  <c r="I140" i="1"/>
  <c r="O138" i="1"/>
  <c r="O139" i="1" l="1"/>
  <c r="J141" i="1"/>
  <c r="D142" i="1"/>
  <c r="E141" i="1"/>
  <c r="F141" i="1" s="1"/>
  <c r="H141" i="1" s="1"/>
  <c r="M140" i="1"/>
  <c r="L140" i="1" s="1"/>
  <c r="K140" i="1"/>
  <c r="N139" i="1"/>
  <c r="I141" i="1"/>
  <c r="I142" i="1" l="1"/>
  <c r="O140" i="1"/>
  <c r="N140" i="1"/>
  <c r="J142" i="1"/>
  <c r="E142" i="1"/>
  <c r="F142" i="1" s="1"/>
  <c r="H142" i="1" s="1"/>
  <c r="D143" i="1"/>
  <c r="M141" i="1"/>
  <c r="L141" i="1" s="1"/>
  <c r="K141" i="1"/>
  <c r="I143" i="1" l="1"/>
  <c r="N141" i="1"/>
  <c r="E143" i="1"/>
  <c r="F143" i="1" s="1"/>
  <c r="H143" i="1" s="1"/>
  <c r="J143" i="1"/>
  <c r="D144" i="1"/>
  <c r="M142" i="1"/>
  <c r="L142" i="1" s="1"/>
  <c r="K142" i="1"/>
  <c r="O141" i="1"/>
  <c r="I144" i="1" l="1"/>
  <c r="N142" i="1"/>
  <c r="O142" i="1"/>
  <c r="J144" i="1"/>
  <c r="E144" i="1"/>
  <c r="F144" i="1" s="1"/>
  <c r="H144" i="1" s="1"/>
  <c r="D145" i="1"/>
  <c r="M143" i="1"/>
  <c r="L143" i="1" s="1"/>
  <c r="K143" i="1"/>
  <c r="D146" i="1" l="1"/>
  <c r="J145" i="1"/>
  <c r="E145" i="1"/>
  <c r="F145" i="1" s="1"/>
  <c r="H145" i="1" s="1"/>
  <c r="M144" i="1"/>
  <c r="L144" i="1" s="1"/>
  <c r="K144" i="1"/>
  <c r="O143" i="1"/>
  <c r="N143" i="1"/>
  <c r="I145" i="1"/>
  <c r="I146" i="1" l="1"/>
  <c r="O144" i="1"/>
  <c r="N144" i="1"/>
  <c r="M145" i="1"/>
  <c r="L145" i="1" s="1"/>
  <c r="K145" i="1"/>
  <c r="J146" i="1"/>
  <c r="E146" i="1"/>
  <c r="F146" i="1" s="1"/>
  <c r="H146" i="1" s="1"/>
  <c r="D147" i="1"/>
  <c r="O145" i="1" l="1"/>
  <c r="M146" i="1"/>
  <c r="L146" i="1" s="1"/>
  <c r="K146" i="1"/>
  <c r="N145" i="1"/>
  <c r="I147" i="1"/>
  <c r="E147" i="1"/>
  <c r="F147" i="1" s="1"/>
  <c r="H147" i="1" s="1"/>
  <c r="J147" i="1"/>
  <c r="D148" i="1"/>
  <c r="O146" i="1" l="1"/>
  <c r="M147" i="1"/>
  <c r="L147" i="1" s="1"/>
  <c r="K147" i="1"/>
  <c r="E148" i="1"/>
  <c r="F148" i="1" s="1"/>
  <c r="H148" i="1" s="1"/>
  <c r="J148" i="1"/>
  <c r="D149" i="1"/>
  <c r="N146" i="1"/>
  <c r="I148" i="1"/>
  <c r="O147" i="1" l="1"/>
  <c r="E149" i="1"/>
  <c r="F149" i="1" s="1"/>
  <c r="H149" i="1" s="1"/>
  <c r="D150" i="1"/>
  <c r="J149" i="1"/>
  <c r="M148" i="1"/>
  <c r="L148" i="1" s="1"/>
  <c r="K148" i="1"/>
  <c r="N147" i="1"/>
  <c r="I149" i="1"/>
  <c r="I150" i="1" l="1"/>
  <c r="O148" i="1"/>
  <c r="N148" i="1"/>
  <c r="M149" i="1"/>
  <c r="L149" i="1" s="1"/>
  <c r="K149" i="1"/>
  <c r="D151" i="1"/>
  <c r="E150" i="1"/>
  <c r="F150" i="1" s="1"/>
  <c r="H150" i="1" s="1"/>
  <c r="J150" i="1"/>
  <c r="I151" i="1" l="1"/>
  <c r="D152" i="1"/>
  <c r="J151" i="1"/>
  <c r="E151" i="1"/>
  <c r="F151" i="1" s="1"/>
  <c r="H151" i="1" s="1"/>
  <c r="N149" i="1"/>
  <c r="O149" i="1"/>
  <c r="M150" i="1"/>
  <c r="L150" i="1" s="1"/>
  <c r="K150" i="1"/>
  <c r="I152" i="1" l="1"/>
  <c r="M151" i="1"/>
  <c r="L151" i="1" s="1"/>
  <c r="K151" i="1"/>
  <c r="J152" i="1"/>
  <c r="E152" i="1"/>
  <c r="F152" i="1" s="1"/>
  <c r="H152" i="1" s="1"/>
  <c r="D153" i="1"/>
  <c r="N150" i="1"/>
  <c r="O150" i="1"/>
  <c r="M152" i="1" l="1"/>
  <c r="L152" i="1" s="1"/>
  <c r="K152" i="1"/>
  <c r="O151" i="1"/>
  <c r="E153" i="1"/>
  <c r="F153" i="1" s="1"/>
  <c r="H153" i="1" s="1"/>
  <c r="J153" i="1"/>
  <c r="D154" i="1"/>
  <c r="N151" i="1"/>
  <c r="I153" i="1"/>
  <c r="M153" i="1" l="1"/>
  <c r="L153" i="1" s="1"/>
  <c r="K153" i="1"/>
  <c r="N152" i="1"/>
  <c r="I154" i="1"/>
  <c r="J154" i="1"/>
  <c r="D155" i="1"/>
  <c r="E154" i="1"/>
  <c r="F154" i="1" s="1"/>
  <c r="H154" i="1" s="1"/>
  <c r="O152" i="1"/>
  <c r="O153" i="1" l="1"/>
  <c r="J155" i="1"/>
  <c r="D156" i="1"/>
  <c r="E155" i="1"/>
  <c r="F155" i="1" s="1"/>
  <c r="H155" i="1" s="1"/>
  <c r="M154" i="1"/>
  <c r="L154" i="1" s="1"/>
  <c r="K154" i="1"/>
  <c r="I155" i="1"/>
  <c r="N153" i="1"/>
  <c r="I156" i="1" l="1"/>
  <c r="N154" i="1"/>
  <c r="D157" i="1"/>
  <c r="J156" i="1"/>
  <c r="E156" i="1"/>
  <c r="F156" i="1" s="1"/>
  <c r="H156" i="1" s="1"/>
  <c r="O154" i="1"/>
  <c r="M155" i="1"/>
  <c r="L155" i="1" s="1"/>
  <c r="K155" i="1"/>
  <c r="M156" i="1" l="1"/>
  <c r="L156" i="1" s="1"/>
  <c r="K156" i="1"/>
  <c r="E157" i="1"/>
  <c r="F157" i="1" s="1"/>
  <c r="H157" i="1" s="1"/>
  <c r="D158" i="1"/>
  <c r="J157" i="1"/>
  <c r="O155" i="1"/>
  <c r="N155" i="1"/>
  <c r="I157" i="1"/>
  <c r="N156" i="1" l="1"/>
  <c r="M157" i="1"/>
  <c r="L157" i="1" s="1"/>
  <c r="K157" i="1"/>
  <c r="D159" i="1"/>
  <c r="E158" i="1"/>
  <c r="F158" i="1" s="1"/>
  <c r="H158" i="1" s="1"/>
  <c r="J158" i="1"/>
  <c r="I158" i="1"/>
  <c r="O156" i="1"/>
  <c r="M158" i="1" l="1"/>
  <c r="L158" i="1" s="1"/>
  <c r="K158" i="1"/>
  <c r="D160" i="1"/>
  <c r="J159" i="1"/>
  <c r="E159" i="1"/>
  <c r="F159" i="1" s="1"/>
  <c r="H159" i="1" s="1"/>
  <c r="N157" i="1"/>
  <c r="I159" i="1"/>
  <c r="O157" i="1"/>
  <c r="O158" i="1" l="1"/>
  <c r="N158" i="1"/>
  <c r="M159" i="1"/>
  <c r="L159" i="1" s="1"/>
  <c r="K159" i="1"/>
  <c r="J160" i="1"/>
  <c r="E160" i="1"/>
  <c r="F160" i="1" s="1"/>
  <c r="H160" i="1" s="1"/>
  <c r="D161" i="1"/>
  <c r="I160" i="1"/>
  <c r="E161" i="1" l="1"/>
  <c r="F161" i="1" s="1"/>
  <c r="H161" i="1" s="1"/>
  <c r="J161" i="1"/>
  <c r="D162" i="1"/>
  <c r="M160" i="1"/>
  <c r="L160" i="1" s="1"/>
  <c r="K160" i="1"/>
  <c r="N159" i="1"/>
  <c r="O159" i="1"/>
  <c r="I161" i="1"/>
  <c r="I162" i="1" l="1"/>
  <c r="N160" i="1"/>
  <c r="O160" i="1"/>
  <c r="J162" i="1"/>
  <c r="D163" i="1"/>
  <c r="E162" i="1"/>
  <c r="F162" i="1" s="1"/>
  <c r="H162" i="1" s="1"/>
  <c r="M161" i="1"/>
  <c r="L161" i="1" s="1"/>
  <c r="K161" i="1"/>
  <c r="I163" i="1" l="1"/>
  <c r="N161" i="1"/>
  <c r="J163" i="1"/>
  <c r="D164" i="1"/>
  <c r="E163" i="1"/>
  <c r="F163" i="1" s="1"/>
  <c r="H163" i="1" s="1"/>
  <c r="M162" i="1"/>
  <c r="L162" i="1" s="1"/>
  <c r="K162" i="1"/>
  <c r="O161" i="1"/>
  <c r="N162" i="1" l="1"/>
  <c r="J164" i="1"/>
  <c r="E164" i="1"/>
  <c r="F164" i="1" s="1"/>
  <c r="H164" i="1" s="1"/>
  <c r="D165" i="1"/>
  <c r="O162" i="1"/>
  <c r="M163" i="1"/>
  <c r="L163" i="1" s="1"/>
  <c r="K163" i="1"/>
  <c r="I164" i="1"/>
  <c r="I165" i="1" l="1"/>
  <c r="O163" i="1"/>
  <c r="E165" i="1"/>
  <c r="F165" i="1" s="1"/>
  <c r="H165" i="1" s="1"/>
  <c r="D166" i="1"/>
  <c r="J165" i="1"/>
  <c r="M164" i="1"/>
  <c r="L164" i="1" s="1"/>
  <c r="K164" i="1"/>
  <c r="N163" i="1"/>
  <c r="I166" i="1" l="1"/>
  <c r="N164" i="1"/>
  <c r="D167" i="1"/>
  <c r="E166" i="1"/>
  <c r="F166" i="1" s="1"/>
  <c r="H166" i="1" s="1"/>
  <c r="J166" i="1"/>
  <c r="O164" i="1"/>
  <c r="M165" i="1"/>
  <c r="L165" i="1" s="1"/>
  <c r="K165" i="1"/>
  <c r="I167" i="1" l="1"/>
  <c r="O165" i="1"/>
  <c r="M166" i="1"/>
  <c r="L166" i="1" s="1"/>
  <c r="K166" i="1"/>
  <c r="D168" i="1"/>
  <c r="J167" i="1"/>
  <c r="E167" i="1"/>
  <c r="F167" i="1" s="1"/>
  <c r="H167" i="1" s="1"/>
  <c r="N165" i="1"/>
  <c r="M167" i="1" l="1"/>
  <c r="L167" i="1" s="1"/>
  <c r="K167" i="1"/>
  <c r="E168" i="1"/>
  <c r="F168" i="1" s="1"/>
  <c r="H168" i="1" s="1"/>
  <c r="J168" i="1"/>
  <c r="D169" i="1"/>
  <c r="N166" i="1"/>
  <c r="I168" i="1"/>
  <c r="O166" i="1"/>
  <c r="I169" i="1" l="1"/>
  <c r="O167" i="1"/>
  <c r="N167" i="1"/>
  <c r="E169" i="1"/>
  <c r="F169" i="1" s="1"/>
  <c r="H169" i="1" s="1"/>
  <c r="J169" i="1"/>
  <c r="D170" i="1"/>
  <c r="M168" i="1"/>
  <c r="L168" i="1" s="1"/>
  <c r="K168" i="1"/>
  <c r="N168" i="1" l="1"/>
  <c r="E170" i="1"/>
  <c r="F170" i="1" s="1"/>
  <c r="H170" i="1" s="1"/>
  <c r="D171" i="1"/>
  <c r="J170" i="1"/>
  <c r="M169" i="1"/>
  <c r="L169" i="1" s="1"/>
  <c r="K169" i="1"/>
  <c r="O168" i="1"/>
  <c r="I170" i="1"/>
  <c r="N169" i="1" l="1"/>
  <c r="J171" i="1"/>
  <c r="E171" i="1"/>
  <c r="F171" i="1" s="1"/>
  <c r="H171" i="1" s="1"/>
  <c r="D172" i="1"/>
  <c r="M170" i="1"/>
  <c r="L170" i="1" s="1"/>
  <c r="K170" i="1"/>
  <c r="I171" i="1"/>
  <c r="O169" i="1"/>
  <c r="I172" i="1" l="1"/>
  <c r="O170" i="1"/>
  <c r="N170" i="1"/>
  <c r="D173" i="1"/>
  <c r="J172" i="1"/>
  <c r="E172" i="1"/>
  <c r="F172" i="1" s="1"/>
  <c r="H172" i="1" s="1"/>
  <c r="M171" i="1"/>
  <c r="L171" i="1" s="1"/>
  <c r="K171" i="1"/>
  <c r="N171" i="1" l="1"/>
  <c r="O171" i="1"/>
  <c r="M172" i="1"/>
  <c r="L172" i="1" s="1"/>
  <c r="K172" i="1"/>
  <c r="E173" i="1"/>
  <c r="F173" i="1" s="1"/>
  <c r="H173" i="1" s="1"/>
  <c r="J173" i="1"/>
  <c r="D174" i="1"/>
  <c r="I173" i="1"/>
  <c r="O172" i="1" l="1"/>
  <c r="N172" i="1"/>
  <c r="M173" i="1"/>
  <c r="L173" i="1" s="1"/>
  <c r="K173" i="1"/>
  <c r="I174" i="1"/>
  <c r="J174" i="1"/>
  <c r="D175" i="1"/>
  <c r="E174" i="1"/>
  <c r="F174" i="1" s="1"/>
  <c r="H174" i="1" s="1"/>
  <c r="I175" i="1" l="1"/>
  <c r="N173" i="1"/>
  <c r="M174" i="1"/>
  <c r="L174" i="1" s="1"/>
  <c r="K174" i="1"/>
  <c r="E175" i="1"/>
  <c r="F175" i="1" s="1"/>
  <c r="H175" i="1" s="1"/>
  <c r="D176" i="1"/>
  <c r="J175" i="1"/>
  <c r="O173" i="1"/>
  <c r="M175" i="1" l="1"/>
  <c r="L175" i="1" s="1"/>
  <c r="K175" i="1"/>
  <c r="O174" i="1"/>
  <c r="E176" i="1"/>
  <c r="F176" i="1" s="1"/>
  <c r="H176" i="1" s="1"/>
  <c r="J176" i="1"/>
  <c r="D177" i="1"/>
  <c r="I176" i="1"/>
  <c r="N174" i="1"/>
  <c r="N175" i="1" l="1"/>
  <c r="J177" i="1"/>
  <c r="D178" i="1"/>
  <c r="E177" i="1"/>
  <c r="F177" i="1" s="1"/>
  <c r="H177" i="1" s="1"/>
  <c r="M176" i="1"/>
  <c r="L176" i="1" s="1"/>
  <c r="K176" i="1"/>
  <c r="I177" i="1"/>
  <c r="O175" i="1"/>
  <c r="N176" i="1" l="1"/>
  <c r="D179" i="1"/>
  <c r="J178" i="1"/>
  <c r="E178" i="1"/>
  <c r="F178" i="1" s="1"/>
  <c r="H178" i="1" s="1"/>
  <c r="M177" i="1"/>
  <c r="L177" i="1" s="1"/>
  <c r="K177" i="1"/>
  <c r="I178" i="1"/>
  <c r="O176" i="1"/>
  <c r="O177" i="1" l="1"/>
  <c r="J179" i="1"/>
  <c r="E179" i="1"/>
  <c r="F179" i="1" s="1"/>
  <c r="H179" i="1" s="1"/>
  <c r="D180" i="1"/>
  <c r="N177" i="1"/>
  <c r="M178" i="1"/>
  <c r="L178" i="1" s="1"/>
  <c r="K178" i="1"/>
  <c r="I179" i="1"/>
  <c r="I180" i="1" l="1"/>
  <c r="N178" i="1"/>
  <c r="E180" i="1"/>
  <c r="F180" i="1" s="1"/>
  <c r="H180" i="1" s="1"/>
  <c r="J180" i="1"/>
  <c r="D181" i="1"/>
  <c r="M179" i="1"/>
  <c r="L179" i="1" s="1"/>
  <c r="K179" i="1"/>
  <c r="O178" i="1"/>
  <c r="N179" i="1" l="1"/>
  <c r="O179" i="1"/>
  <c r="E181" i="1"/>
  <c r="F181" i="1" s="1"/>
  <c r="H181" i="1" s="1"/>
  <c r="J181" i="1"/>
  <c r="D182" i="1"/>
  <c r="M180" i="1"/>
  <c r="L180" i="1" s="1"/>
  <c r="K180" i="1"/>
  <c r="I181" i="1"/>
  <c r="N180" i="1" l="1"/>
  <c r="J182" i="1"/>
  <c r="D183" i="1"/>
  <c r="E182" i="1"/>
  <c r="F182" i="1" s="1"/>
  <c r="H182" i="1" s="1"/>
  <c r="M181" i="1"/>
  <c r="L181" i="1" s="1"/>
  <c r="K181" i="1"/>
  <c r="O180" i="1"/>
  <c r="I182" i="1"/>
  <c r="I183" i="1" l="1"/>
  <c r="E183" i="1"/>
  <c r="F183" i="1" s="1"/>
  <c r="H183" i="1" s="1"/>
  <c r="D184" i="1"/>
  <c r="J183" i="1"/>
  <c r="M182" i="1"/>
  <c r="L182" i="1" s="1"/>
  <c r="K182" i="1"/>
  <c r="N181" i="1"/>
  <c r="O181" i="1"/>
  <c r="N182" i="1" l="1"/>
  <c r="M183" i="1"/>
  <c r="L183" i="1" s="1"/>
  <c r="K183" i="1"/>
  <c r="E184" i="1"/>
  <c r="F184" i="1" s="1"/>
  <c r="H184" i="1" s="1"/>
  <c r="J184" i="1"/>
  <c r="D185" i="1"/>
  <c r="I184" i="1"/>
  <c r="O182" i="1"/>
  <c r="O183" i="1" l="1"/>
  <c r="N183" i="1"/>
  <c r="J185" i="1"/>
  <c r="D186" i="1"/>
  <c r="E185" i="1"/>
  <c r="F185" i="1" s="1"/>
  <c r="H185" i="1" s="1"/>
  <c r="M184" i="1"/>
  <c r="L184" i="1" s="1"/>
  <c r="K184" i="1"/>
  <c r="I185" i="1"/>
  <c r="N184" i="1" l="1"/>
  <c r="M185" i="1"/>
  <c r="L185" i="1" s="1"/>
  <c r="K185" i="1"/>
  <c r="D187" i="1"/>
  <c r="J186" i="1"/>
  <c r="E186" i="1"/>
  <c r="F186" i="1" s="1"/>
  <c r="H186" i="1" s="1"/>
  <c r="I186" i="1"/>
  <c r="O184" i="1"/>
  <c r="I187" i="1" l="1"/>
  <c r="J187" i="1"/>
  <c r="E187" i="1"/>
  <c r="F187" i="1" s="1"/>
  <c r="H187" i="1" s="1"/>
  <c r="D188" i="1"/>
  <c r="N185" i="1"/>
  <c r="M186" i="1"/>
  <c r="L186" i="1" s="1"/>
  <c r="K186" i="1"/>
  <c r="O185" i="1"/>
  <c r="N186" i="1" l="1"/>
  <c r="E188" i="1"/>
  <c r="F188" i="1" s="1"/>
  <c r="H188" i="1" s="1"/>
  <c r="J188" i="1"/>
  <c r="D189" i="1"/>
  <c r="M187" i="1"/>
  <c r="L187" i="1" s="1"/>
  <c r="K187" i="1"/>
  <c r="O186" i="1"/>
  <c r="I188" i="1"/>
  <c r="O187" i="1" l="1"/>
  <c r="N187" i="1"/>
  <c r="M188" i="1"/>
  <c r="L188" i="1" s="1"/>
  <c r="K188" i="1"/>
  <c r="E189" i="1"/>
  <c r="F189" i="1" s="1"/>
  <c r="H189" i="1" s="1"/>
  <c r="J189" i="1"/>
  <c r="D190" i="1"/>
  <c r="I189" i="1"/>
  <c r="O188" i="1" l="1"/>
  <c r="I190" i="1"/>
  <c r="J190" i="1"/>
  <c r="D191" i="1"/>
  <c r="E190" i="1"/>
  <c r="F190" i="1" s="1"/>
  <c r="H190" i="1" s="1"/>
  <c r="M189" i="1"/>
  <c r="L189" i="1" s="1"/>
  <c r="K189" i="1"/>
  <c r="N188" i="1"/>
  <c r="I191" i="1" l="1"/>
  <c r="N189" i="1"/>
  <c r="E191" i="1"/>
  <c r="F191" i="1" s="1"/>
  <c r="H191" i="1" s="1"/>
  <c r="D192" i="1"/>
  <c r="J191" i="1"/>
  <c r="O189" i="1"/>
  <c r="M190" i="1"/>
  <c r="L190" i="1" s="1"/>
  <c r="K190" i="1"/>
  <c r="O190" i="1" l="1"/>
  <c r="M191" i="1"/>
  <c r="L191" i="1" s="1"/>
  <c r="K191" i="1"/>
  <c r="E192" i="1"/>
  <c r="F192" i="1" s="1"/>
  <c r="H192" i="1" s="1"/>
  <c r="J192" i="1"/>
  <c r="D193" i="1"/>
  <c r="N190" i="1"/>
  <c r="I192" i="1"/>
  <c r="O191" i="1" l="1"/>
  <c r="N191" i="1"/>
  <c r="M192" i="1"/>
  <c r="L192" i="1" s="1"/>
  <c r="K192" i="1"/>
  <c r="J193" i="1"/>
  <c r="D194" i="1"/>
  <c r="E193" i="1"/>
  <c r="F193" i="1" s="1"/>
  <c r="H193" i="1" s="1"/>
  <c r="I193" i="1"/>
  <c r="I194" i="1" l="1"/>
  <c r="O192" i="1"/>
  <c r="N192" i="1"/>
  <c r="D195" i="1"/>
  <c r="J194" i="1"/>
  <c r="E194" i="1"/>
  <c r="F194" i="1" s="1"/>
  <c r="H194" i="1" s="1"/>
  <c r="M193" i="1"/>
  <c r="L193" i="1" s="1"/>
  <c r="K193" i="1"/>
  <c r="N193" i="1" l="1"/>
  <c r="O193" i="1"/>
  <c r="M194" i="1"/>
  <c r="L194" i="1" s="1"/>
  <c r="K194" i="1"/>
  <c r="J195" i="1"/>
  <c r="E195" i="1"/>
  <c r="F195" i="1" s="1"/>
  <c r="H195" i="1" s="1"/>
  <c r="D196" i="1"/>
  <c r="I195" i="1"/>
  <c r="M195" i="1" l="1"/>
  <c r="L195" i="1" s="1"/>
  <c r="K195" i="1"/>
  <c r="O194" i="1"/>
  <c r="N194" i="1"/>
  <c r="I196" i="1"/>
  <c r="E196" i="1"/>
  <c r="F196" i="1" s="1"/>
  <c r="H196" i="1" s="1"/>
  <c r="J196" i="1"/>
  <c r="D197" i="1"/>
  <c r="I197" i="1" l="1"/>
  <c r="N195" i="1"/>
  <c r="E197" i="1"/>
  <c r="F197" i="1" s="1"/>
  <c r="H197" i="1" s="1"/>
  <c r="J197" i="1"/>
  <c r="D198" i="1"/>
  <c r="M196" i="1"/>
  <c r="L196" i="1" s="1"/>
  <c r="K196" i="1"/>
  <c r="O195" i="1"/>
  <c r="N196" i="1" l="1"/>
  <c r="J198" i="1"/>
  <c r="D199" i="1"/>
  <c r="E198" i="1"/>
  <c r="F198" i="1" s="1"/>
  <c r="H198" i="1" s="1"/>
  <c r="M197" i="1"/>
  <c r="L197" i="1" s="1"/>
  <c r="K197" i="1"/>
  <c r="I198" i="1"/>
  <c r="O196" i="1"/>
  <c r="I199" i="1" l="1"/>
  <c r="O197" i="1"/>
  <c r="N197" i="1"/>
  <c r="E199" i="1"/>
  <c r="F199" i="1" s="1"/>
  <c r="H199" i="1" s="1"/>
  <c r="D200" i="1"/>
  <c r="J199" i="1"/>
  <c r="M198" i="1"/>
  <c r="L198" i="1" s="1"/>
  <c r="K198" i="1"/>
  <c r="I200" i="1" l="1"/>
  <c r="N198" i="1"/>
  <c r="E200" i="1"/>
  <c r="F200" i="1" s="1"/>
  <c r="H200" i="1" s="1"/>
  <c r="J200" i="1"/>
  <c r="D201" i="1"/>
  <c r="O198" i="1"/>
  <c r="M199" i="1"/>
  <c r="L199" i="1" s="1"/>
  <c r="K199" i="1"/>
  <c r="O199" i="1" l="1"/>
  <c r="M200" i="1"/>
  <c r="L200" i="1" s="1"/>
  <c r="K200" i="1"/>
  <c r="J201" i="1"/>
  <c r="D202" i="1"/>
  <c r="E201" i="1"/>
  <c r="F201" i="1" s="1"/>
  <c r="H201" i="1" s="1"/>
  <c r="N199" i="1"/>
  <c r="I201" i="1"/>
  <c r="O200" i="1" l="1"/>
  <c r="N200" i="1"/>
  <c r="M201" i="1"/>
  <c r="L201" i="1" s="1"/>
  <c r="K201" i="1"/>
  <c r="I202" i="1"/>
  <c r="D203" i="1"/>
  <c r="J202" i="1"/>
  <c r="E202" i="1"/>
  <c r="F202" i="1" s="1"/>
  <c r="H202" i="1" s="1"/>
  <c r="O201" i="1" l="1"/>
  <c r="N201" i="1"/>
  <c r="M202" i="1"/>
  <c r="L202" i="1" s="1"/>
  <c r="K202" i="1"/>
  <c r="J203" i="1"/>
  <c r="E203" i="1"/>
  <c r="F203" i="1" s="1"/>
  <c r="H203" i="1" s="1"/>
  <c r="D204" i="1"/>
  <c r="I203" i="1"/>
  <c r="O202" i="1" l="1"/>
  <c r="N202" i="1"/>
  <c r="I204" i="1"/>
  <c r="E204" i="1"/>
  <c r="F204" i="1" s="1"/>
  <c r="H204" i="1" s="1"/>
  <c r="J204" i="1"/>
  <c r="D205" i="1"/>
  <c r="M203" i="1"/>
  <c r="L203" i="1" s="1"/>
  <c r="K203" i="1"/>
  <c r="O203" i="1" l="1"/>
  <c r="N203" i="1"/>
  <c r="E205" i="1"/>
  <c r="F205" i="1" s="1"/>
  <c r="H205" i="1" s="1"/>
  <c r="J205" i="1"/>
  <c r="D206" i="1"/>
  <c r="M204" i="1"/>
  <c r="L204" i="1" s="1"/>
  <c r="K204" i="1"/>
  <c r="I205" i="1"/>
  <c r="N204" i="1" l="1"/>
  <c r="J206" i="1"/>
  <c r="D207" i="1"/>
  <c r="E206" i="1"/>
  <c r="F206" i="1" s="1"/>
  <c r="H206" i="1" s="1"/>
  <c r="M205" i="1"/>
  <c r="L205" i="1" s="1"/>
  <c r="K205" i="1"/>
  <c r="I206" i="1"/>
  <c r="O204" i="1"/>
  <c r="N205" i="1" l="1"/>
  <c r="O205" i="1"/>
  <c r="E207" i="1"/>
  <c r="F207" i="1" s="1"/>
  <c r="H207" i="1" s="1"/>
  <c r="D208" i="1"/>
  <c r="J207" i="1"/>
  <c r="M206" i="1"/>
  <c r="L206" i="1" s="1"/>
  <c r="K206" i="1"/>
  <c r="I207" i="1"/>
  <c r="N206" i="1" l="1"/>
  <c r="E208" i="1"/>
  <c r="F208" i="1" s="1"/>
  <c r="H208" i="1" s="1"/>
  <c r="J208" i="1"/>
  <c r="D209" i="1"/>
  <c r="M207" i="1"/>
  <c r="L207" i="1" s="1"/>
  <c r="K207" i="1"/>
  <c r="I208" i="1"/>
  <c r="O206" i="1"/>
  <c r="N207" i="1" l="1"/>
  <c r="O207" i="1"/>
  <c r="J209" i="1"/>
  <c r="D210" i="1"/>
  <c r="E209" i="1"/>
  <c r="F209" i="1" s="1"/>
  <c r="H209" i="1" s="1"/>
  <c r="M208" i="1"/>
  <c r="L208" i="1" s="1"/>
  <c r="K208" i="1"/>
  <c r="I209" i="1"/>
  <c r="M209" i="1" l="1"/>
  <c r="L209" i="1" s="1"/>
  <c r="K209" i="1"/>
  <c r="D211" i="1"/>
  <c r="J210" i="1"/>
  <c r="E210" i="1"/>
  <c r="F210" i="1" s="1"/>
  <c r="H210" i="1" s="1"/>
  <c r="I210" i="1"/>
  <c r="I211" i="1" s="1"/>
  <c r="O208" i="1"/>
  <c r="N208" i="1"/>
  <c r="O209" i="1" l="1"/>
  <c r="M210" i="1"/>
  <c r="L210" i="1" s="1"/>
  <c r="K210" i="1"/>
  <c r="J211" i="1"/>
  <c r="E211" i="1"/>
  <c r="F211" i="1" s="1"/>
  <c r="H211" i="1" s="1"/>
  <c r="D212" i="1"/>
  <c r="N209" i="1"/>
  <c r="N210" i="1" l="1"/>
  <c r="M211" i="1"/>
  <c r="L211" i="1" s="1"/>
  <c r="K211" i="1"/>
  <c r="I212" i="1"/>
  <c r="E212" i="1"/>
  <c r="F212" i="1" s="1"/>
  <c r="H212" i="1" s="1"/>
  <c r="J212" i="1"/>
  <c r="D213" i="1"/>
  <c r="O210" i="1"/>
  <c r="M212" i="1" l="1"/>
  <c r="L212" i="1" s="1"/>
  <c r="K212" i="1"/>
  <c r="I213" i="1"/>
  <c r="E213" i="1"/>
  <c r="F213" i="1" s="1"/>
  <c r="H213" i="1" s="1"/>
  <c r="J213" i="1"/>
  <c r="D214" i="1"/>
  <c r="N211" i="1"/>
  <c r="O211" i="1"/>
  <c r="O212" i="1" l="1"/>
  <c r="I214" i="1"/>
  <c r="J214" i="1"/>
  <c r="D215" i="1"/>
  <c r="E214" i="1"/>
  <c r="F214" i="1" s="1"/>
  <c r="H214" i="1" s="1"/>
  <c r="M213" i="1"/>
  <c r="L213" i="1" s="1"/>
  <c r="K213" i="1"/>
  <c r="N212" i="1"/>
  <c r="M214" i="1" l="1"/>
  <c r="L214" i="1" s="1"/>
  <c r="K214" i="1"/>
  <c r="N213" i="1"/>
  <c r="E215" i="1"/>
  <c r="F215" i="1" s="1"/>
  <c r="H215" i="1" s="1"/>
  <c r="D216" i="1"/>
  <c r="J215" i="1"/>
  <c r="I215" i="1"/>
  <c r="O213" i="1"/>
  <c r="M215" i="1" l="1"/>
  <c r="L215" i="1" s="1"/>
  <c r="K215" i="1"/>
  <c r="E216" i="1"/>
  <c r="F216" i="1" s="1"/>
  <c r="H216" i="1" s="1"/>
  <c r="J216" i="1"/>
  <c r="D217" i="1"/>
  <c r="N214" i="1"/>
  <c r="I216" i="1"/>
  <c r="O214" i="1"/>
  <c r="O215" i="1" l="1"/>
  <c r="M216" i="1"/>
  <c r="L216" i="1" s="1"/>
  <c r="K216" i="1"/>
  <c r="N215" i="1"/>
  <c r="J217" i="1"/>
  <c r="D218" i="1"/>
  <c r="E217" i="1"/>
  <c r="F217" i="1" s="1"/>
  <c r="H217" i="1" s="1"/>
  <c r="I217" i="1"/>
  <c r="O216" i="1" l="1"/>
  <c r="N216" i="1"/>
  <c r="M217" i="1"/>
  <c r="L217" i="1" s="1"/>
  <c r="K217" i="1"/>
  <c r="D219" i="1"/>
  <c r="J218" i="1"/>
  <c r="E218" i="1"/>
  <c r="F218" i="1" s="1"/>
  <c r="H218" i="1" s="1"/>
  <c r="I218" i="1"/>
  <c r="I219" i="1" l="1"/>
  <c r="N217" i="1"/>
  <c r="J219" i="1"/>
  <c r="E219" i="1"/>
  <c r="F219" i="1" s="1"/>
  <c r="H219" i="1" s="1"/>
  <c r="D220" i="1"/>
  <c r="M218" i="1"/>
  <c r="L218" i="1" s="1"/>
  <c r="K218" i="1"/>
  <c r="O217" i="1"/>
  <c r="N218" i="1" l="1"/>
  <c r="O218" i="1"/>
  <c r="E220" i="1"/>
  <c r="F220" i="1" s="1"/>
  <c r="H220" i="1" s="1"/>
  <c r="J220" i="1"/>
  <c r="D221" i="1"/>
  <c r="M219" i="1"/>
  <c r="L219" i="1" s="1"/>
  <c r="K219" i="1"/>
  <c r="I220" i="1"/>
  <c r="N219" i="1" l="1"/>
  <c r="O219" i="1"/>
  <c r="M220" i="1"/>
  <c r="L220" i="1" s="1"/>
  <c r="K220" i="1"/>
  <c r="E221" i="1"/>
  <c r="F221" i="1" s="1"/>
  <c r="H221" i="1" s="1"/>
  <c r="J221" i="1"/>
  <c r="D222" i="1"/>
  <c r="I221" i="1"/>
  <c r="O220" i="1" l="1"/>
  <c r="N220" i="1"/>
  <c r="M221" i="1"/>
  <c r="L221" i="1" s="1"/>
  <c r="K221" i="1"/>
  <c r="I222" i="1"/>
  <c r="J222" i="1"/>
  <c r="D223" i="1"/>
  <c r="E222" i="1"/>
  <c r="F222" i="1" s="1"/>
  <c r="H222" i="1" s="1"/>
  <c r="I223" i="1" l="1"/>
  <c r="M222" i="1"/>
  <c r="L222" i="1" s="1"/>
  <c r="K222" i="1"/>
  <c r="N221" i="1"/>
  <c r="E223" i="1"/>
  <c r="F223" i="1" s="1"/>
  <c r="H223" i="1" s="1"/>
  <c r="D224" i="1"/>
  <c r="J223" i="1"/>
  <c r="O221" i="1"/>
  <c r="I224" i="1" l="1"/>
  <c r="O222" i="1"/>
  <c r="N222" i="1"/>
  <c r="E224" i="1"/>
  <c r="F224" i="1" s="1"/>
  <c r="H224" i="1" s="1"/>
  <c r="J224" i="1"/>
  <c r="D225" i="1"/>
  <c r="M223" i="1"/>
  <c r="L223" i="1" s="1"/>
  <c r="K223" i="1"/>
  <c r="I225" i="1" l="1"/>
  <c r="N223" i="1"/>
  <c r="J225" i="1"/>
  <c r="D226" i="1"/>
  <c r="E225" i="1"/>
  <c r="F225" i="1" s="1"/>
  <c r="H225" i="1" s="1"/>
  <c r="M224" i="1"/>
  <c r="L224" i="1" s="1"/>
  <c r="K224" i="1"/>
  <c r="O223" i="1"/>
  <c r="N224" i="1" l="1"/>
  <c r="D227" i="1"/>
  <c r="J226" i="1"/>
  <c r="E226" i="1"/>
  <c r="F226" i="1" s="1"/>
  <c r="H226" i="1" s="1"/>
  <c r="M225" i="1"/>
  <c r="L225" i="1" s="1"/>
  <c r="K225" i="1"/>
  <c r="O224" i="1"/>
  <c r="I226" i="1"/>
  <c r="M226" i="1" l="1"/>
  <c r="L226" i="1" s="1"/>
  <c r="K226" i="1"/>
  <c r="N225" i="1"/>
  <c r="J227" i="1"/>
  <c r="E227" i="1"/>
  <c r="F227" i="1" s="1"/>
  <c r="H227" i="1" s="1"/>
  <c r="D228" i="1"/>
  <c r="O225" i="1"/>
  <c r="I227" i="1"/>
  <c r="O226" i="1" l="1"/>
  <c r="I228" i="1"/>
  <c r="E228" i="1"/>
  <c r="F228" i="1" s="1"/>
  <c r="H228" i="1" s="1"/>
  <c r="J228" i="1"/>
  <c r="D229" i="1"/>
  <c r="M227" i="1"/>
  <c r="L227" i="1" s="1"/>
  <c r="K227" i="1"/>
  <c r="N226" i="1"/>
  <c r="I229" i="1" l="1"/>
  <c r="N227" i="1"/>
  <c r="E229" i="1"/>
  <c r="F229" i="1" s="1"/>
  <c r="H229" i="1" s="1"/>
  <c r="J229" i="1"/>
  <c r="D230" i="1"/>
  <c r="M228" i="1"/>
  <c r="L228" i="1" s="1"/>
  <c r="K228" i="1"/>
  <c r="O227" i="1"/>
  <c r="N228" i="1" l="1"/>
  <c r="J230" i="1"/>
  <c r="D231" i="1"/>
  <c r="E230" i="1"/>
  <c r="F230" i="1" s="1"/>
  <c r="H230" i="1" s="1"/>
  <c r="M229" i="1"/>
  <c r="L229" i="1" s="1"/>
  <c r="K229" i="1"/>
  <c r="O228" i="1"/>
  <c r="I230" i="1"/>
  <c r="N229" i="1" l="1"/>
  <c r="M230" i="1"/>
  <c r="L230" i="1" s="1"/>
  <c r="K230" i="1"/>
  <c r="E231" i="1"/>
  <c r="F231" i="1" s="1"/>
  <c r="H231" i="1" s="1"/>
  <c r="D232" i="1"/>
  <c r="J231" i="1"/>
  <c r="I231" i="1"/>
  <c r="O229" i="1"/>
  <c r="M231" i="1" l="1"/>
  <c r="L231" i="1" s="1"/>
  <c r="K231" i="1"/>
  <c r="E232" i="1"/>
  <c r="F232" i="1" s="1"/>
  <c r="H232" i="1" s="1"/>
  <c r="J232" i="1"/>
  <c r="D233" i="1"/>
  <c r="N230" i="1"/>
  <c r="O230" i="1"/>
  <c r="I232" i="1"/>
  <c r="O231" i="1" l="1"/>
  <c r="N231" i="1"/>
  <c r="J233" i="1"/>
  <c r="D234" i="1"/>
  <c r="E233" i="1"/>
  <c r="F233" i="1" s="1"/>
  <c r="H233" i="1" s="1"/>
  <c r="M232" i="1"/>
  <c r="L232" i="1" s="1"/>
  <c r="K232" i="1"/>
  <c r="I233" i="1"/>
  <c r="I234" i="1" s="1"/>
  <c r="N232" i="1" l="1"/>
  <c r="D235" i="1"/>
  <c r="J234" i="1"/>
  <c r="E234" i="1"/>
  <c r="F234" i="1" s="1"/>
  <c r="H234" i="1" s="1"/>
  <c r="M233" i="1"/>
  <c r="L233" i="1" s="1"/>
  <c r="K233" i="1"/>
  <c r="O232" i="1"/>
  <c r="M234" i="1" l="1"/>
  <c r="L234" i="1" s="1"/>
  <c r="K234" i="1"/>
  <c r="O233" i="1"/>
  <c r="N233" i="1"/>
  <c r="J235" i="1"/>
  <c r="E235" i="1"/>
  <c r="F235" i="1" s="1"/>
  <c r="H235" i="1" s="1"/>
  <c r="D236" i="1"/>
  <c r="I235" i="1"/>
  <c r="M235" i="1" l="1"/>
  <c r="L235" i="1" s="1"/>
  <c r="K235" i="1"/>
  <c r="N234" i="1"/>
  <c r="I236" i="1"/>
  <c r="E236" i="1"/>
  <c r="F236" i="1" s="1"/>
  <c r="H236" i="1" s="1"/>
  <c r="J236" i="1"/>
  <c r="D237" i="1"/>
  <c r="O234" i="1"/>
  <c r="I237" i="1" l="1"/>
  <c r="M236" i="1"/>
  <c r="L236" i="1" s="1"/>
  <c r="K236" i="1"/>
  <c r="N235" i="1"/>
  <c r="E237" i="1"/>
  <c r="F237" i="1" s="1"/>
  <c r="H237" i="1" s="1"/>
  <c r="J237" i="1"/>
  <c r="D238" i="1"/>
  <c r="O235" i="1"/>
  <c r="O236" i="1" l="1"/>
  <c r="N236" i="1"/>
  <c r="M237" i="1"/>
  <c r="L237" i="1" s="1"/>
  <c r="K237" i="1"/>
  <c r="I238" i="1"/>
  <c r="J238" i="1"/>
  <c r="D239" i="1"/>
  <c r="E238" i="1"/>
  <c r="F238" i="1" s="1"/>
  <c r="H238" i="1" s="1"/>
  <c r="O237" i="1" l="1"/>
  <c r="I239" i="1"/>
  <c r="N237" i="1"/>
  <c r="E239" i="1"/>
  <c r="F239" i="1" s="1"/>
  <c r="H239" i="1" s="1"/>
  <c r="D240" i="1"/>
  <c r="J239" i="1"/>
  <c r="M238" i="1"/>
  <c r="L238" i="1" s="1"/>
  <c r="K238" i="1"/>
  <c r="M239" i="1" l="1"/>
  <c r="L239" i="1" s="1"/>
  <c r="K239" i="1"/>
  <c r="N238" i="1"/>
  <c r="E240" i="1"/>
  <c r="F240" i="1" s="1"/>
  <c r="H240" i="1" s="1"/>
  <c r="J240" i="1"/>
  <c r="D241" i="1"/>
  <c r="I240" i="1"/>
  <c r="O238" i="1"/>
  <c r="O239" i="1" l="1"/>
  <c r="M240" i="1"/>
  <c r="L240" i="1" s="1"/>
  <c r="K240" i="1"/>
  <c r="J241" i="1"/>
  <c r="D242" i="1"/>
  <c r="E241" i="1"/>
  <c r="F241" i="1" s="1"/>
  <c r="H241" i="1" s="1"/>
  <c r="N239" i="1"/>
  <c r="I241" i="1"/>
  <c r="O240" i="1" l="1"/>
  <c r="N240" i="1"/>
  <c r="I242" i="1"/>
  <c r="D243" i="1"/>
  <c r="J242" i="1"/>
  <c r="E242" i="1"/>
  <c r="F242" i="1" s="1"/>
  <c r="H242" i="1" s="1"/>
  <c r="M241" i="1"/>
  <c r="L241" i="1" s="1"/>
  <c r="K241" i="1"/>
  <c r="I243" i="1" l="1"/>
  <c r="N241" i="1"/>
  <c r="O241" i="1"/>
  <c r="M242" i="1"/>
  <c r="L242" i="1" s="1"/>
  <c r="K242" i="1"/>
  <c r="J243" i="1"/>
  <c r="E243" i="1"/>
  <c r="F243" i="1" s="1"/>
  <c r="H243" i="1" s="1"/>
  <c r="D244" i="1"/>
  <c r="M243" i="1" l="1"/>
  <c r="L243" i="1" s="1"/>
  <c r="K243" i="1"/>
  <c r="O242" i="1"/>
  <c r="N242" i="1"/>
  <c r="E244" i="1"/>
  <c r="F244" i="1" s="1"/>
  <c r="H244" i="1" s="1"/>
  <c r="J244" i="1"/>
  <c r="D245" i="1"/>
  <c r="I244" i="1"/>
  <c r="O243" i="1" l="1"/>
  <c r="E245" i="1"/>
  <c r="F245" i="1" s="1"/>
  <c r="H245" i="1" s="1"/>
  <c r="J245" i="1"/>
  <c r="D246" i="1"/>
  <c r="M244" i="1"/>
  <c r="L244" i="1" s="1"/>
  <c r="K244" i="1"/>
  <c r="I245" i="1"/>
  <c r="I246" i="1" s="1"/>
  <c r="N243" i="1"/>
  <c r="O244" i="1" l="1"/>
  <c r="N244" i="1"/>
  <c r="J246" i="1"/>
  <c r="D247" i="1"/>
  <c r="E246" i="1"/>
  <c r="F246" i="1" s="1"/>
  <c r="H246" i="1" s="1"/>
  <c r="M245" i="1"/>
  <c r="L245" i="1" s="1"/>
  <c r="K245" i="1"/>
  <c r="N245" i="1" l="1"/>
  <c r="E247" i="1"/>
  <c r="F247" i="1" s="1"/>
  <c r="H247" i="1" s="1"/>
  <c r="D248" i="1"/>
  <c r="J247" i="1"/>
  <c r="M246" i="1"/>
  <c r="L246" i="1" s="1"/>
  <c r="K246" i="1"/>
  <c r="O245" i="1"/>
  <c r="I247" i="1"/>
  <c r="N246" i="1" l="1"/>
  <c r="E248" i="1"/>
  <c r="F248" i="1" s="1"/>
  <c r="H248" i="1" s="1"/>
  <c r="J248" i="1"/>
  <c r="D249" i="1"/>
  <c r="M247" i="1"/>
  <c r="L247" i="1" s="1"/>
  <c r="K247" i="1"/>
  <c r="I248" i="1"/>
  <c r="O246" i="1"/>
  <c r="N247" i="1" l="1"/>
  <c r="O247" i="1"/>
  <c r="M248" i="1"/>
  <c r="L248" i="1" s="1"/>
  <c r="K248" i="1"/>
  <c r="J249" i="1"/>
  <c r="D250" i="1"/>
  <c r="E249" i="1"/>
  <c r="F249" i="1" s="1"/>
  <c r="H249" i="1" s="1"/>
  <c r="I249" i="1"/>
  <c r="O248" i="1" l="1"/>
  <c r="D251" i="1"/>
  <c r="J250" i="1"/>
  <c r="E250" i="1"/>
  <c r="F250" i="1" s="1"/>
  <c r="H250" i="1" s="1"/>
  <c r="M249" i="1"/>
  <c r="L249" i="1" s="1"/>
  <c r="K249" i="1"/>
  <c r="N248" i="1"/>
  <c r="I250" i="1"/>
  <c r="I251" i="1" l="1"/>
  <c r="N249" i="1"/>
  <c r="M250" i="1"/>
  <c r="L250" i="1" s="1"/>
  <c r="K250" i="1"/>
  <c r="O249" i="1"/>
  <c r="J251" i="1"/>
  <c r="E251" i="1"/>
  <c r="F251" i="1" s="1"/>
  <c r="H251" i="1" s="1"/>
  <c r="M251" i="1" l="1"/>
  <c r="N251" i="1" s="1"/>
  <c r="K251" i="1"/>
  <c r="N250" i="1"/>
  <c r="O250" i="1"/>
  <c r="L251" i="1" l="1"/>
  <c r="B4" i="1"/>
  <c r="Z11" i="1" s="1"/>
  <c r="O251" i="1"/>
  <c r="B5" i="1" s="1"/>
  <c r="Z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Minogue, Troy</author>
  </authors>
  <commentList>
    <comment ref="C20" authorId="0" shapeId="0" xr:uid="{66C379DE-A387-4A5A-B48B-E158FB5F01AA}">
      <text>
        <r>
          <rPr>
            <b/>
            <sz val="9"/>
            <color indexed="81"/>
            <rFont val="Tahoma"/>
            <family val="2"/>
          </rPr>
          <t>Minogue, Troy:</t>
        </r>
        <r>
          <rPr>
            <sz val="9"/>
            <color indexed="81"/>
            <rFont val="Tahoma"/>
            <family val="2"/>
          </rPr>
          <t xml:space="preserve">
Typical industry half-mile lateral = 0.80km = 800m</t>
        </r>
      </text>
    </comment>
    <comment ref="C21" authorId="0" shapeId="0" xr:uid="{EAB89886-9508-46FC-A4EE-EFCD31E94402}">
      <text>
        <r>
          <rPr>
            <b/>
            <sz val="9"/>
            <color indexed="81"/>
            <rFont val="Tahoma"/>
            <family val="2"/>
          </rPr>
          <t>Minogue, Troy:</t>
        </r>
        <r>
          <rPr>
            <sz val="9"/>
            <color indexed="81"/>
            <rFont val="Tahoma"/>
            <family val="2"/>
          </rPr>
          <t xml:space="preserve">
Tonnes as per AER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Leach</author>
  </authors>
  <commentList>
    <comment ref="G12" authorId="0" shapeId="0" xr:uid="{3304A5F2-681B-4E39-A0D3-FF54A879491B}">
      <text>
        <r>
          <rPr>
            <b/>
            <sz val="9"/>
            <color indexed="81"/>
            <rFont val="Tahoma"/>
            <charset val="1"/>
          </rPr>
          <t>Andrew Leach:</t>
        </r>
        <r>
          <rPr>
            <sz val="9"/>
            <color indexed="81"/>
            <rFont val="Tahoma"/>
            <charset val="1"/>
          </rPr>
          <t xml:space="preserve">
Month beginning produciton is production is $B$2*month^$B$3
Month end production is $B$2*(month+1)^$B$3
Monthly is the area under the curve
a*m^b 
integral is a/(b+1)m^(b+1)
F m+1 - F m</t>
        </r>
      </text>
    </comment>
  </commentList>
</comments>
</file>

<file path=xl/sharedStrings.xml><?xml version="1.0" encoding="utf-8"?>
<sst xmlns="http://schemas.openxmlformats.org/spreadsheetml/2006/main" count="212" uniqueCount="152">
  <si>
    <t>Cumulative Production (Bbls)</t>
  </si>
  <si>
    <t>Monthly production (Bbls)</t>
  </si>
  <si>
    <t>Daily production (Bbl/d)</t>
  </si>
  <si>
    <t>Months</t>
  </si>
  <si>
    <t>Years</t>
  </si>
  <si>
    <t xml:space="preserve">Production Projections </t>
  </si>
  <si>
    <t>Errors</t>
  </si>
  <si>
    <t>Y</t>
  </si>
  <si>
    <t>X</t>
  </si>
  <si>
    <t>Time (Months)</t>
  </si>
  <si>
    <t>Sum of squared errors</t>
  </si>
  <si>
    <t>B</t>
  </si>
  <si>
    <t>A</t>
  </si>
  <si>
    <t>y=a*x^b (solver)</t>
  </si>
  <si>
    <t>Oil Production</t>
  </si>
  <si>
    <t>Monthly production (Bbl)</t>
  </si>
  <si>
    <t>Liquids Production (Bbls/d)</t>
  </si>
  <si>
    <t>Liquids Production</t>
  </si>
  <si>
    <t>Bbl's to mcf</t>
  </si>
  <si>
    <t>6 to 1</t>
  </si>
  <si>
    <t>Gas Production (mcf/d)</t>
  </si>
  <si>
    <t>Daily production (Mcf/d)</t>
  </si>
  <si>
    <t>Monthly production (Mcf)</t>
  </si>
  <si>
    <t>Cumulative Production (Mcf)</t>
  </si>
  <si>
    <t>Production Month</t>
  </si>
  <si>
    <t>Project Month</t>
  </si>
  <si>
    <t>Completion delay (months)</t>
  </si>
  <si>
    <t>Rev Matching:</t>
  </si>
  <si>
    <t>Base % Class:</t>
  </si>
  <si>
    <t>Change % Class:</t>
  </si>
  <si>
    <t>Price Class:</t>
  </si>
  <si>
    <t>Propane</t>
  </si>
  <si>
    <t>bbl/m3</t>
  </si>
  <si>
    <t>NEB e3m3/MMcf</t>
  </si>
  <si>
    <t>Boe/e3m3</t>
  </si>
  <si>
    <t>GJ/mmbtu</t>
  </si>
  <si>
    <t>mcf/boe:</t>
  </si>
  <si>
    <t>mmbtu/mcf:</t>
  </si>
  <si>
    <t>mcf</t>
  </si>
  <si>
    <t>(Q oil equivalent volumes)</t>
  </si>
  <si>
    <t>rq=</t>
  </si>
  <si>
    <t>(Q-194)*0.001350</t>
  </si>
  <si>
    <t>Q gas equiv: (e3m3/mo)</t>
  </si>
  <si>
    <t>Q (m3)</t>
  </si>
  <si>
    <t>Q:</t>
  </si>
  <si>
    <t>Methane/Ethane</t>
  </si>
  <si>
    <t>Butane</t>
  </si>
  <si>
    <t>Crude &amp; Condensate</t>
  </si>
  <si>
    <t>Price (C$/GJ)</t>
  </si>
  <si>
    <t>C$/mcf</t>
  </si>
  <si>
    <t>C$/boe</t>
  </si>
  <si>
    <t>(%/$/GJ)</t>
  </si>
  <si>
    <t>Base</t>
  </si>
  <si>
    <t>C$/m3</t>
  </si>
  <si>
    <t>(%/$/m3)</t>
  </si>
  <si>
    <t>&lt;P1</t>
  </si>
  <si>
    <t>P1</t>
  </si>
  <si>
    <t>P2</t>
  </si>
  <si>
    <t>P3</t>
  </si>
  <si>
    <t>Max</t>
  </si>
  <si>
    <t>TVD &lt;2000 metres</t>
  </si>
  <si>
    <t>TVD</t>
  </si>
  <si>
    <t>m</t>
  </si>
  <si>
    <t>factor</t>
  </si>
  <si>
    <t>Bakken Well</t>
  </si>
  <si>
    <t>TLL</t>
  </si>
  <si>
    <t>MD</t>
  </si>
  <si>
    <t>TPP</t>
  </si>
  <si>
    <t>tonnes</t>
  </si>
  <si>
    <t>C*</t>
  </si>
  <si>
    <t>$</t>
  </si>
  <si>
    <t>TVD &gt;2000 metres</t>
  </si>
  <si>
    <t>TVD Change</t>
  </si>
  <si>
    <t>Total Royalty Reduction</t>
  </si>
  <si>
    <t>TVD (incremental)</t>
  </si>
  <si>
    <t>Incremental C*</t>
  </si>
  <si>
    <t>ft/m</t>
  </si>
  <si>
    <t>Total C*</t>
  </si>
  <si>
    <t>proppant lbs/ft</t>
  </si>
  <si>
    <t>MT 2 (IN USE)</t>
  </si>
  <si>
    <t>1 ton =</t>
  </si>
  <si>
    <t>lbs</t>
  </si>
  <si>
    <t>TLL Change</t>
  </si>
  <si>
    <t>TPP,TLL,TPP Change</t>
  </si>
  <si>
    <t>m3/mo</t>
  </si>
  <si>
    <t>250, 500, 500</t>
  </si>
  <si>
    <t>boe/mo</t>
  </si>
  <si>
    <t>500, 1000, 1000</t>
  </si>
  <si>
    <t>750, 1500, 1500</t>
  </si>
  <si>
    <t>1000, 2000, 2000</t>
  </si>
  <si>
    <t>TPP (lbs/ft) Change</t>
  </si>
  <si>
    <t>Maturity Threshold (MT)</t>
  </si>
  <si>
    <t>boe/d</t>
  </si>
  <si>
    <t>mcf/boe</t>
  </si>
  <si>
    <t>MT Gas Equivalent</t>
  </si>
  <si>
    <t>e3m3</t>
  </si>
  <si>
    <t>per month</t>
  </si>
  <si>
    <t>m3</t>
  </si>
  <si>
    <t>bbl</t>
  </si>
  <si>
    <t>lbs/tonne</t>
  </si>
  <si>
    <t>Avg days/month</t>
  </si>
  <si>
    <t>cf</t>
  </si>
  <si>
    <t>mcf/m3</t>
  </si>
  <si>
    <t>m3/cf</t>
  </si>
  <si>
    <t>natgas</t>
  </si>
  <si>
    <t>cf/mo</t>
  </si>
  <si>
    <t>mcf/mo</t>
  </si>
  <si>
    <t>mcf/d</t>
  </si>
  <si>
    <t>(based on 40 boe/d)</t>
  </si>
  <si>
    <t>Royalty Formula</t>
  </si>
  <si>
    <t>Cstar calculation</t>
  </si>
  <si>
    <t>Initial Production (IP) Rate</t>
  </si>
  <si>
    <t>Conversion factors</t>
  </si>
  <si>
    <t>Minimum</t>
  </si>
  <si>
    <t>Maximum</t>
  </si>
  <si>
    <t>Monthly Oil Production</t>
  </si>
  <si>
    <t>Monthly Oil Price ($/m3)</t>
  </si>
  <si>
    <t>Raw Royalty Price Component</t>
  </si>
  <si>
    <t>Royalty Quantity Component</t>
  </si>
  <si>
    <t>Q factor</t>
  </si>
  <si>
    <t>Q change</t>
  </si>
  <si>
    <t>Calculated Royalty</t>
  </si>
  <si>
    <t>Monthly Revenue</t>
  </si>
  <si>
    <t>Cumulative Revenue</t>
  </si>
  <si>
    <t>Pre-Cstar min</t>
  </si>
  <si>
    <t>Total Royalties</t>
  </si>
  <si>
    <t>Netback</t>
  </si>
  <si>
    <t>Royalty</t>
  </si>
  <si>
    <t>Start Date</t>
  </si>
  <si>
    <t>Start Month</t>
  </si>
  <si>
    <t>Start Year</t>
  </si>
  <si>
    <t>Daily production EOM (Bbl/d)</t>
  </si>
  <si>
    <t>Daily production Day 1 (Bbl/d)</t>
  </si>
  <si>
    <t>Producing Days</t>
  </si>
  <si>
    <t>Period end date</t>
  </si>
  <si>
    <t>Cumulative Producing Days</t>
  </si>
  <si>
    <t>Initial Decline Rate</t>
  </si>
  <si>
    <t>Hyperbolic Constant</t>
  </si>
  <si>
    <t>Decline</t>
  </si>
  <si>
    <t>First Year IP30 Multiple</t>
  </si>
  <si>
    <t>IP30 (bbl/d, calculated)</t>
  </si>
  <si>
    <t>Flat oil price</t>
  </si>
  <si>
    <t>Inflation rate</t>
  </si>
  <si>
    <t>Monthly Oil Price (bbl)</t>
  </si>
  <si>
    <t>R* Credit</t>
  </si>
  <si>
    <t>C*+R* Balance</t>
  </si>
  <si>
    <t>Royalty Rate</t>
  </si>
  <si>
    <t>Oil Price ($2020)</t>
  </si>
  <si>
    <t>Value of R* Credit (millions)</t>
  </si>
  <si>
    <t>Avoided Royalties</t>
  </si>
  <si>
    <t>Value of C*+R*</t>
  </si>
  <si>
    <t>Dollars saved per dollar of R*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</si>
</sst>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  <numFmt numFmtId="165" formatCode="0.0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.00_);[Red]\(&quot;$&quot;#,##0.00\)"/>
    <numFmt numFmtId="169" formatCode="&quot;$&quot;#,##0_);[Red]\(&quot;$&quot;#,##0\)"/>
    <numFmt numFmtId="170" formatCode="0.000%"/>
    <numFmt numFmtId="171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2" fontId="2" fillId="0" borderId="0" xfId="2" applyNumberFormat="1" applyAlignment="1">
      <alignment horizontal="center"/>
    </xf>
    <xf numFmtId="2" fontId="2" fillId="0" borderId="1" xfId="2" applyNumberFormat="1" applyBorder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2" applyFont="1"/>
    <xf numFmtId="0" fontId="2" fillId="0" borderId="1" xfId="2" applyBorder="1"/>
    <xf numFmtId="0" fontId="2" fillId="2" borderId="0" xfId="2" applyFill="1"/>
    <xf numFmtId="0" fontId="2" fillId="3" borderId="0" xfId="2" applyFill="1"/>
    <xf numFmtId="2" fontId="2" fillId="0" borderId="0" xfId="2" applyNumberFormat="1"/>
    <xf numFmtId="2" fontId="2" fillId="2" borderId="0" xfId="2" applyNumberFormat="1" applyFill="1" applyAlignment="1">
      <alignment horizontal="center"/>
    </xf>
    <xf numFmtId="0" fontId="3" fillId="0" borderId="2" xfId="2" applyFont="1" applyBorder="1" applyAlignment="1">
      <alignment horizontal="center"/>
    </xf>
    <xf numFmtId="16" fontId="2" fillId="2" borderId="3" xfId="2" applyNumberFormat="1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0" xfId="2" applyFont="1" applyAlignment="1">
      <alignment horizontal="center"/>
    </xf>
    <xf numFmtId="2" fontId="2" fillId="0" borderId="1" xfId="2" applyNumberFormat="1" applyBorder="1"/>
    <xf numFmtId="0" fontId="2" fillId="0" borderId="0" xfId="2" applyAlignment="1">
      <alignment wrapText="1"/>
    </xf>
    <xf numFmtId="164" fontId="2" fillId="0" borderId="0" xfId="2" applyNumberFormat="1"/>
    <xf numFmtId="14" fontId="2" fillId="0" borderId="0" xfId="2" applyNumberFormat="1"/>
    <xf numFmtId="0" fontId="2" fillId="0" borderId="4" xfId="2" applyBorder="1"/>
    <xf numFmtId="0" fontId="2" fillId="0" borderId="5" xfId="2" applyBorder="1"/>
    <xf numFmtId="0" fontId="2" fillId="0" borderId="6" xfId="2" applyBorder="1"/>
    <xf numFmtId="165" fontId="2" fillId="0" borderId="0" xfId="2" applyNumberFormat="1"/>
    <xf numFmtId="0" fontId="2" fillId="0" borderId="7" xfId="2" applyBorder="1"/>
    <xf numFmtId="0" fontId="2" fillId="0" borderId="8" xfId="2" applyBorder="1"/>
    <xf numFmtId="0" fontId="4" fillId="0" borderId="0" xfId="2" applyFont="1"/>
    <xf numFmtId="10" fontId="2" fillId="0" borderId="0" xfId="2" applyNumberFormat="1"/>
    <xf numFmtId="0" fontId="2" fillId="4" borderId="0" xfId="2" applyFill="1"/>
    <xf numFmtId="0" fontId="2" fillId="5" borderId="0" xfId="2" applyFill="1"/>
    <xf numFmtId="0" fontId="2" fillId="6" borderId="0" xfId="2" applyFill="1"/>
    <xf numFmtId="0" fontId="2" fillId="7" borderId="0" xfId="2" applyFill="1"/>
    <xf numFmtId="9" fontId="2" fillId="0" borderId="0" xfId="2" applyNumberFormat="1"/>
    <xf numFmtId="0" fontId="2" fillId="0" borderId="9" xfId="2" applyBorder="1"/>
    <xf numFmtId="0" fontId="2" fillId="0" borderId="10" xfId="2" applyBorder="1"/>
    <xf numFmtId="0" fontId="2" fillId="0" borderId="11" xfId="2" applyBorder="1"/>
    <xf numFmtId="0" fontId="0" fillId="2" borderId="0" xfId="0" applyFill="1"/>
    <xf numFmtId="165" fontId="0" fillId="2" borderId="0" xfId="0" applyNumberFormat="1" applyFill="1"/>
    <xf numFmtId="167" fontId="0" fillId="2" borderId="0" xfId="1" applyNumberFormat="1" applyFont="1" applyFill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167" fontId="0" fillId="0" borderId="15" xfId="1" applyNumberFormat="1" applyFont="1" applyBorder="1"/>
    <xf numFmtId="168" fontId="0" fillId="0" borderId="0" xfId="0" applyNumberFormat="1"/>
    <xf numFmtId="0" fontId="0" fillId="0" borderId="16" xfId="0" applyBorder="1"/>
    <xf numFmtId="167" fontId="0" fillId="0" borderId="17" xfId="1" applyNumberFormat="1" applyFont="1" applyBorder="1"/>
    <xf numFmtId="167" fontId="0" fillId="2" borderId="0" xfId="0" applyNumberFormat="1" applyFill="1"/>
    <xf numFmtId="169" fontId="0" fillId="0" borderId="0" xfId="0" applyNumberFormat="1"/>
    <xf numFmtId="0" fontId="0" fillId="0" borderId="18" xfId="0" applyBorder="1"/>
    <xf numFmtId="167" fontId="0" fillId="0" borderId="19" xfId="1" applyNumberFormat="1" applyFont="1" applyBorder="1"/>
    <xf numFmtId="0" fontId="0" fillId="7" borderId="0" xfId="0" applyFill="1"/>
    <xf numFmtId="166" fontId="0" fillId="0" borderId="0" xfId="0" applyNumberFormat="1"/>
    <xf numFmtId="0" fontId="0" fillId="0" borderId="20" xfId="0" applyBorder="1"/>
    <xf numFmtId="167" fontId="0" fillId="0" borderId="21" xfId="1" applyNumberFormat="1" applyFont="1" applyBorder="1"/>
    <xf numFmtId="0" fontId="0" fillId="0" borderId="20" xfId="0" quotePrefix="1" applyBorder="1"/>
    <xf numFmtId="0" fontId="0" fillId="0" borderId="22" xfId="0" applyBorder="1"/>
    <xf numFmtId="167" fontId="0" fillId="0" borderId="23" xfId="1" applyNumberFormat="1" applyFont="1" applyBorder="1"/>
    <xf numFmtId="0" fontId="0" fillId="0" borderId="22" xfId="0" quotePrefix="1" applyBorder="1"/>
    <xf numFmtId="167" fontId="0" fillId="0" borderId="0" xfId="1" applyNumberFormat="1" applyFont="1"/>
    <xf numFmtId="0" fontId="0" fillId="0" borderId="0" xfId="0" quotePrefix="1"/>
    <xf numFmtId="0" fontId="0" fillId="0" borderId="24" xfId="0" applyBorder="1"/>
    <xf numFmtId="167" fontId="0" fillId="0" borderId="25" xfId="1" applyNumberFormat="1" applyFont="1" applyBorder="1"/>
    <xf numFmtId="2" fontId="0" fillId="0" borderId="0" xfId="0" applyNumberFormat="1"/>
    <xf numFmtId="167" fontId="0" fillId="0" borderId="0" xfId="0" applyNumberFormat="1"/>
    <xf numFmtId="0" fontId="3" fillId="0" borderId="0" xfId="2" applyFont="1" applyAlignment="1">
      <alignment horizontal="center" vertical="center" wrapText="1"/>
    </xf>
    <xf numFmtId="0" fontId="0" fillId="0" borderId="0" xfId="0"/>
    <xf numFmtId="0" fontId="2" fillId="0" borderId="0" xfId="2" applyAlignment="1">
      <alignment horizontal="center"/>
    </xf>
    <xf numFmtId="9" fontId="2" fillId="0" borderId="0" xfId="3" applyFont="1"/>
    <xf numFmtId="170" fontId="2" fillId="0" borderId="0" xfId="3" applyNumberFormat="1" applyFont="1"/>
    <xf numFmtId="0" fontId="0" fillId="0" borderId="0" xfId="0" applyAlignment="1">
      <alignment wrapText="1"/>
    </xf>
    <xf numFmtId="43" fontId="0" fillId="0" borderId="0" xfId="0" applyNumberFormat="1"/>
    <xf numFmtId="171" fontId="0" fillId="0" borderId="0" xfId="0" applyNumberFormat="1"/>
    <xf numFmtId="0" fontId="2" fillId="0" borderId="0" xfId="2" applyFill="1"/>
    <xf numFmtId="14" fontId="2" fillId="0" borderId="0" xfId="2" applyNumberFormat="1" applyAlignment="1">
      <alignment horizontal="center"/>
    </xf>
    <xf numFmtId="171" fontId="2" fillId="0" borderId="0" xfId="4" applyNumberFormat="1" applyFont="1" applyAlignment="1">
      <alignment horizontal="center"/>
    </xf>
    <xf numFmtId="171" fontId="2" fillId="0" borderId="0" xfId="2" applyNumberFormat="1" applyAlignment="1">
      <alignment horizontal="center"/>
    </xf>
    <xf numFmtId="43" fontId="2" fillId="0" borderId="0" xfId="2" applyNumberFormat="1" applyAlignment="1">
      <alignment horizontal="center"/>
    </xf>
    <xf numFmtId="43" fontId="2" fillId="0" borderId="0" xfId="2" applyNumberFormat="1"/>
    <xf numFmtId="1" fontId="2" fillId="0" borderId="0" xfId="2" applyNumberFormat="1"/>
    <xf numFmtId="2" fontId="2" fillId="0" borderId="0" xfId="4" applyNumberFormat="1" applyFont="1" applyAlignment="1">
      <alignment horizontal="center"/>
    </xf>
    <xf numFmtId="9" fontId="0" fillId="0" borderId="0" xfId="3" applyFont="1"/>
    <xf numFmtId="171" fontId="0" fillId="0" borderId="0" xfId="0" applyNumberFormat="1" applyAlignment="1">
      <alignment wrapText="1"/>
    </xf>
    <xf numFmtId="0" fontId="0" fillId="8" borderId="0" xfId="0" applyFill="1"/>
    <xf numFmtId="10" fontId="0" fillId="0" borderId="0" xfId="0" applyNumberFormat="1"/>
    <xf numFmtId="2" fontId="9" fillId="8" borderId="16" xfId="0" applyNumberFormat="1" applyFont="1" applyFill="1" applyBorder="1"/>
    <xf numFmtId="0" fontId="9" fillId="8" borderId="0" xfId="0" applyFont="1" applyFill="1" applyBorder="1"/>
    <xf numFmtId="171" fontId="9" fillId="8" borderId="0" xfId="0" applyNumberFormat="1" applyFont="1" applyFill="1" applyBorder="1" applyAlignment="1">
      <alignment wrapText="1"/>
    </xf>
    <xf numFmtId="0" fontId="9" fillId="8" borderId="0" xfId="0" applyFont="1" applyFill="1" applyAlignment="1">
      <alignment horizontal="center" wrapText="1"/>
    </xf>
    <xf numFmtId="0" fontId="9" fillId="8" borderId="30" xfId="0" applyFont="1" applyFill="1" applyBorder="1" applyAlignment="1">
      <alignment wrapText="1"/>
    </xf>
    <xf numFmtId="2" fontId="9" fillId="8" borderId="30" xfId="0" applyNumberFormat="1" applyFont="1" applyFill="1" applyBorder="1"/>
    <xf numFmtId="43" fontId="0" fillId="8" borderId="0" xfId="0" applyNumberFormat="1" applyFill="1"/>
    <xf numFmtId="171" fontId="9" fillId="8" borderId="0" xfId="0" applyNumberFormat="1" applyFont="1" applyFill="1" applyBorder="1" applyAlignment="1">
      <alignment horizontal="center" wrapText="1"/>
    </xf>
    <xf numFmtId="0" fontId="9" fillId="8" borderId="28" xfId="0" applyFont="1" applyFill="1" applyBorder="1"/>
    <xf numFmtId="0" fontId="9" fillId="8" borderId="0" xfId="0" applyFont="1" applyFill="1" applyBorder="1" applyAlignment="1">
      <alignment horizontal="center" vertical="top" wrapText="1"/>
    </xf>
    <xf numFmtId="0" fontId="9" fillId="8" borderId="0" xfId="0" applyFont="1" applyFill="1" applyAlignment="1">
      <alignment horizontal="center" vertical="top" wrapText="1"/>
    </xf>
    <xf numFmtId="0" fontId="9" fillId="8" borderId="0" xfId="0" applyFont="1" applyFill="1" applyBorder="1" applyAlignment="1">
      <alignment vertical="center" textRotation="90"/>
    </xf>
    <xf numFmtId="2" fontId="9" fillId="8" borderId="31" xfId="0" applyNumberFormat="1" applyFont="1" applyFill="1" applyBorder="1" applyAlignment="1">
      <alignment horizontal="center" vertical="center"/>
    </xf>
    <xf numFmtId="2" fontId="9" fillId="8" borderId="30" xfId="0" applyNumberFormat="1" applyFont="1" applyFill="1" applyBorder="1" applyAlignment="1">
      <alignment horizontal="center" vertical="center"/>
    </xf>
    <xf numFmtId="2" fontId="9" fillId="8" borderId="32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wrapText="1"/>
    </xf>
    <xf numFmtId="0" fontId="9" fillId="8" borderId="0" xfId="0" applyFont="1" applyFill="1" applyBorder="1" applyAlignment="1">
      <alignment horizontal="center"/>
    </xf>
    <xf numFmtId="0" fontId="9" fillId="8" borderId="26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 vertical="center" textRotation="90" wrapText="1"/>
    </xf>
    <xf numFmtId="0" fontId="9" fillId="8" borderId="23" xfId="0" applyFont="1" applyFill="1" applyBorder="1" applyAlignment="1">
      <alignment horizontal="center" vertical="center" textRotation="90" wrapText="1"/>
    </xf>
    <xf numFmtId="0" fontId="9" fillId="8" borderId="0" xfId="0" applyFont="1" applyFill="1" applyAlignment="1">
      <alignment horizontal="center" wrapText="1"/>
    </xf>
    <xf numFmtId="0" fontId="9" fillId="8" borderId="2" xfId="0" applyFont="1" applyFill="1" applyBorder="1" applyAlignment="1">
      <alignment horizontal="right" vertical="center" textRotation="90"/>
    </xf>
    <xf numFmtId="0" fontId="9" fillId="8" borderId="29" xfId="0" applyFont="1" applyFill="1" applyBorder="1" applyAlignment="1">
      <alignment horizontal="right" vertical="center" textRotation="90"/>
    </xf>
    <xf numFmtId="0" fontId="9" fillId="8" borderId="3" xfId="0" applyFont="1" applyFill="1" applyBorder="1" applyAlignment="1">
      <alignment horizontal="right" vertical="center" textRotation="90"/>
    </xf>
    <xf numFmtId="0" fontId="9" fillId="8" borderId="30" xfId="0" applyFont="1" applyFill="1" applyBorder="1" applyAlignment="1">
      <alignment horizontal="center"/>
    </xf>
    <xf numFmtId="0" fontId="10" fillId="0" borderId="0" xfId="0" applyFont="1"/>
  </cellXfs>
  <cellStyles count="5">
    <cellStyle name="Comma" xfId="4" builtinId="3"/>
    <cellStyle name="Currency" xfId="1" builtinId="4"/>
    <cellStyle name="Normal" xfId="0" builtinId="0"/>
    <cellStyle name="Normal 2" xfId="2" xr:uid="{6F61876D-CE29-4E98-B464-3327C0DCCB4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Production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'Oil Production'!$B$13:$B$267</c:f>
              <c:numCache>
                <c:formatCode>m/d/yyyy</c:formatCode>
                <c:ptCount val="255"/>
                <c:pt idx="0">
                  <c:v>44620</c:v>
                </c:pt>
                <c:pt idx="1">
                  <c:v>44651</c:v>
                </c:pt>
                <c:pt idx="2">
                  <c:v>44681</c:v>
                </c:pt>
                <c:pt idx="3">
                  <c:v>44712</c:v>
                </c:pt>
                <c:pt idx="4">
                  <c:v>44742</c:v>
                </c:pt>
                <c:pt idx="5">
                  <c:v>44773</c:v>
                </c:pt>
                <c:pt idx="6">
                  <c:v>44804</c:v>
                </c:pt>
                <c:pt idx="7">
                  <c:v>44834</c:v>
                </c:pt>
                <c:pt idx="8">
                  <c:v>44865</c:v>
                </c:pt>
                <c:pt idx="9">
                  <c:v>44895</c:v>
                </c:pt>
                <c:pt idx="10">
                  <c:v>44926</c:v>
                </c:pt>
                <c:pt idx="11">
                  <c:v>44957</c:v>
                </c:pt>
                <c:pt idx="12">
                  <c:v>44985</c:v>
                </c:pt>
                <c:pt idx="13">
                  <c:v>45016</c:v>
                </c:pt>
                <c:pt idx="14">
                  <c:v>45046</c:v>
                </c:pt>
                <c:pt idx="15">
                  <c:v>45077</c:v>
                </c:pt>
                <c:pt idx="16">
                  <c:v>45107</c:v>
                </c:pt>
                <c:pt idx="17">
                  <c:v>45138</c:v>
                </c:pt>
                <c:pt idx="18">
                  <c:v>45169</c:v>
                </c:pt>
                <c:pt idx="19">
                  <c:v>45199</c:v>
                </c:pt>
                <c:pt idx="20">
                  <c:v>45230</c:v>
                </c:pt>
                <c:pt idx="21">
                  <c:v>45260</c:v>
                </c:pt>
                <c:pt idx="22">
                  <c:v>45291</c:v>
                </c:pt>
                <c:pt idx="23">
                  <c:v>45322</c:v>
                </c:pt>
                <c:pt idx="24">
                  <c:v>45351</c:v>
                </c:pt>
                <c:pt idx="25">
                  <c:v>45382</c:v>
                </c:pt>
                <c:pt idx="26">
                  <c:v>45412</c:v>
                </c:pt>
                <c:pt idx="27">
                  <c:v>45443</c:v>
                </c:pt>
                <c:pt idx="28">
                  <c:v>45473</c:v>
                </c:pt>
                <c:pt idx="29">
                  <c:v>45504</c:v>
                </c:pt>
                <c:pt idx="30">
                  <c:v>45535</c:v>
                </c:pt>
                <c:pt idx="31">
                  <c:v>45565</c:v>
                </c:pt>
                <c:pt idx="32">
                  <c:v>45596</c:v>
                </c:pt>
                <c:pt idx="33">
                  <c:v>45626</c:v>
                </c:pt>
                <c:pt idx="34">
                  <c:v>45657</c:v>
                </c:pt>
                <c:pt idx="35">
                  <c:v>45688</c:v>
                </c:pt>
                <c:pt idx="36">
                  <c:v>45716</c:v>
                </c:pt>
                <c:pt idx="37">
                  <c:v>45747</c:v>
                </c:pt>
                <c:pt idx="38">
                  <c:v>45777</c:v>
                </c:pt>
                <c:pt idx="39">
                  <c:v>45808</c:v>
                </c:pt>
                <c:pt idx="40">
                  <c:v>45838</c:v>
                </c:pt>
                <c:pt idx="41">
                  <c:v>45869</c:v>
                </c:pt>
                <c:pt idx="42">
                  <c:v>45900</c:v>
                </c:pt>
                <c:pt idx="43">
                  <c:v>45930</c:v>
                </c:pt>
                <c:pt idx="44">
                  <c:v>45961</c:v>
                </c:pt>
                <c:pt idx="45">
                  <c:v>45991</c:v>
                </c:pt>
                <c:pt idx="46">
                  <c:v>46022</c:v>
                </c:pt>
                <c:pt idx="47">
                  <c:v>46053</c:v>
                </c:pt>
                <c:pt idx="48">
                  <c:v>46081</c:v>
                </c:pt>
                <c:pt idx="49">
                  <c:v>46112</c:v>
                </c:pt>
                <c:pt idx="50">
                  <c:v>46142</c:v>
                </c:pt>
                <c:pt idx="51">
                  <c:v>46173</c:v>
                </c:pt>
                <c:pt idx="52">
                  <c:v>46203</c:v>
                </c:pt>
                <c:pt idx="53">
                  <c:v>46234</c:v>
                </c:pt>
                <c:pt idx="54">
                  <c:v>46265</c:v>
                </c:pt>
                <c:pt idx="55">
                  <c:v>46295</c:v>
                </c:pt>
                <c:pt idx="56">
                  <c:v>46326</c:v>
                </c:pt>
                <c:pt idx="57">
                  <c:v>46356</c:v>
                </c:pt>
                <c:pt idx="58">
                  <c:v>46387</c:v>
                </c:pt>
                <c:pt idx="59">
                  <c:v>46418</c:v>
                </c:pt>
                <c:pt idx="60">
                  <c:v>46446</c:v>
                </c:pt>
                <c:pt idx="61">
                  <c:v>46477</c:v>
                </c:pt>
                <c:pt idx="62">
                  <c:v>46507</c:v>
                </c:pt>
                <c:pt idx="63">
                  <c:v>46538</c:v>
                </c:pt>
                <c:pt idx="64">
                  <c:v>46568</c:v>
                </c:pt>
                <c:pt idx="65">
                  <c:v>46599</c:v>
                </c:pt>
                <c:pt idx="66">
                  <c:v>46630</c:v>
                </c:pt>
                <c:pt idx="67">
                  <c:v>46660</c:v>
                </c:pt>
                <c:pt idx="68">
                  <c:v>46691</c:v>
                </c:pt>
                <c:pt idx="69">
                  <c:v>46721</c:v>
                </c:pt>
                <c:pt idx="70">
                  <c:v>46752</c:v>
                </c:pt>
                <c:pt idx="71">
                  <c:v>46783</c:v>
                </c:pt>
                <c:pt idx="72">
                  <c:v>46812</c:v>
                </c:pt>
                <c:pt idx="73">
                  <c:v>46843</c:v>
                </c:pt>
                <c:pt idx="74">
                  <c:v>46873</c:v>
                </c:pt>
                <c:pt idx="75">
                  <c:v>46904</c:v>
                </c:pt>
                <c:pt idx="76">
                  <c:v>46934</c:v>
                </c:pt>
                <c:pt idx="77">
                  <c:v>46965</c:v>
                </c:pt>
                <c:pt idx="78">
                  <c:v>46996</c:v>
                </c:pt>
                <c:pt idx="79">
                  <c:v>47026</c:v>
                </c:pt>
                <c:pt idx="80">
                  <c:v>47057</c:v>
                </c:pt>
                <c:pt idx="81">
                  <c:v>47087</c:v>
                </c:pt>
                <c:pt idx="82">
                  <c:v>47118</c:v>
                </c:pt>
                <c:pt idx="83">
                  <c:v>47149</c:v>
                </c:pt>
                <c:pt idx="84">
                  <c:v>47177</c:v>
                </c:pt>
                <c:pt idx="85">
                  <c:v>47208</c:v>
                </c:pt>
                <c:pt idx="86">
                  <c:v>47238</c:v>
                </c:pt>
                <c:pt idx="87">
                  <c:v>47269</c:v>
                </c:pt>
                <c:pt idx="88">
                  <c:v>47299</c:v>
                </c:pt>
                <c:pt idx="89">
                  <c:v>47330</c:v>
                </c:pt>
                <c:pt idx="90">
                  <c:v>47361</c:v>
                </c:pt>
                <c:pt idx="91">
                  <c:v>47391</c:v>
                </c:pt>
                <c:pt idx="92">
                  <c:v>47422</c:v>
                </c:pt>
                <c:pt idx="93">
                  <c:v>47452</c:v>
                </c:pt>
                <c:pt idx="94">
                  <c:v>47483</c:v>
                </c:pt>
                <c:pt idx="95">
                  <c:v>47514</c:v>
                </c:pt>
                <c:pt idx="96">
                  <c:v>47542</c:v>
                </c:pt>
                <c:pt idx="97">
                  <c:v>47573</c:v>
                </c:pt>
                <c:pt idx="98">
                  <c:v>47603</c:v>
                </c:pt>
                <c:pt idx="99">
                  <c:v>47634</c:v>
                </c:pt>
                <c:pt idx="100">
                  <c:v>47664</c:v>
                </c:pt>
                <c:pt idx="101">
                  <c:v>47695</c:v>
                </c:pt>
                <c:pt idx="102">
                  <c:v>47726</c:v>
                </c:pt>
                <c:pt idx="103">
                  <c:v>47756</c:v>
                </c:pt>
                <c:pt idx="104">
                  <c:v>47787</c:v>
                </c:pt>
                <c:pt idx="105">
                  <c:v>47817</c:v>
                </c:pt>
                <c:pt idx="106">
                  <c:v>47848</c:v>
                </c:pt>
                <c:pt idx="107">
                  <c:v>47879</c:v>
                </c:pt>
                <c:pt idx="108">
                  <c:v>47907</c:v>
                </c:pt>
                <c:pt idx="109">
                  <c:v>47938</c:v>
                </c:pt>
                <c:pt idx="110">
                  <c:v>47968</c:v>
                </c:pt>
                <c:pt idx="111">
                  <c:v>47999</c:v>
                </c:pt>
                <c:pt idx="112">
                  <c:v>48029</c:v>
                </c:pt>
                <c:pt idx="113">
                  <c:v>48060</c:v>
                </c:pt>
                <c:pt idx="114">
                  <c:v>48091</c:v>
                </c:pt>
                <c:pt idx="115">
                  <c:v>48121</c:v>
                </c:pt>
                <c:pt idx="116">
                  <c:v>48152</c:v>
                </c:pt>
                <c:pt idx="117">
                  <c:v>48182</c:v>
                </c:pt>
                <c:pt idx="118">
                  <c:v>48213</c:v>
                </c:pt>
                <c:pt idx="119">
                  <c:v>48244</c:v>
                </c:pt>
                <c:pt idx="120">
                  <c:v>48273</c:v>
                </c:pt>
                <c:pt idx="121">
                  <c:v>48304</c:v>
                </c:pt>
                <c:pt idx="122">
                  <c:v>48334</c:v>
                </c:pt>
                <c:pt idx="123">
                  <c:v>48365</c:v>
                </c:pt>
                <c:pt idx="124">
                  <c:v>48395</c:v>
                </c:pt>
                <c:pt idx="125">
                  <c:v>48426</c:v>
                </c:pt>
                <c:pt idx="126">
                  <c:v>48457</c:v>
                </c:pt>
                <c:pt idx="127">
                  <c:v>48487</c:v>
                </c:pt>
                <c:pt idx="128">
                  <c:v>48518</c:v>
                </c:pt>
                <c:pt idx="129">
                  <c:v>48548</c:v>
                </c:pt>
                <c:pt idx="130">
                  <c:v>48579</c:v>
                </c:pt>
                <c:pt idx="131">
                  <c:v>48610</c:v>
                </c:pt>
                <c:pt idx="132">
                  <c:v>48638</c:v>
                </c:pt>
                <c:pt idx="133">
                  <c:v>48669</c:v>
                </c:pt>
                <c:pt idx="134">
                  <c:v>48699</c:v>
                </c:pt>
                <c:pt idx="135">
                  <c:v>48730</c:v>
                </c:pt>
                <c:pt idx="136">
                  <c:v>48760</c:v>
                </c:pt>
                <c:pt idx="137">
                  <c:v>48791</c:v>
                </c:pt>
                <c:pt idx="138">
                  <c:v>48822</c:v>
                </c:pt>
                <c:pt idx="139">
                  <c:v>48852</c:v>
                </c:pt>
                <c:pt idx="140">
                  <c:v>48883</c:v>
                </c:pt>
                <c:pt idx="141">
                  <c:v>48913</c:v>
                </c:pt>
                <c:pt idx="142">
                  <c:v>48944</c:v>
                </c:pt>
                <c:pt idx="143">
                  <c:v>48975</c:v>
                </c:pt>
                <c:pt idx="144">
                  <c:v>49003</c:v>
                </c:pt>
                <c:pt idx="145">
                  <c:v>49034</c:v>
                </c:pt>
                <c:pt idx="146">
                  <c:v>49064</c:v>
                </c:pt>
                <c:pt idx="147">
                  <c:v>49095</c:v>
                </c:pt>
                <c:pt idx="148">
                  <c:v>49125</c:v>
                </c:pt>
                <c:pt idx="149">
                  <c:v>49156</c:v>
                </c:pt>
                <c:pt idx="150">
                  <c:v>49187</c:v>
                </c:pt>
                <c:pt idx="151">
                  <c:v>49217</c:v>
                </c:pt>
                <c:pt idx="152">
                  <c:v>49248</c:v>
                </c:pt>
                <c:pt idx="153">
                  <c:v>49278</c:v>
                </c:pt>
                <c:pt idx="154">
                  <c:v>49309</c:v>
                </c:pt>
                <c:pt idx="155">
                  <c:v>49340</c:v>
                </c:pt>
                <c:pt idx="156">
                  <c:v>49368</c:v>
                </c:pt>
                <c:pt idx="157">
                  <c:v>49399</c:v>
                </c:pt>
                <c:pt idx="158">
                  <c:v>49429</c:v>
                </c:pt>
                <c:pt idx="159">
                  <c:v>49460</c:v>
                </c:pt>
                <c:pt idx="160">
                  <c:v>49490</c:v>
                </c:pt>
                <c:pt idx="161">
                  <c:v>49521</c:v>
                </c:pt>
                <c:pt idx="162">
                  <c:v>49552</c:v>
                </c:pt>
                <c:pt idx="163">
                  <c:v>49582</c:v>
                </c:pt>
                <c:pt idx="164">
                  <c:v>49613</c:v>
                </c:pt>
                <c:pt idx="165">
                  <c:v>49643</c:v>
                </c:pt>
                <c:pt idx="166">
                  <c:v>49674</c:v>
                </c:pt>
                <c:pt idx="167">
                  <c:v>49705</c:v>
                </c:pt>
                <c:pt idx="168">
                  <c:v>49734</c:v>
                </c:pt>
                <c:pt idx="169">
                  <c:v>49765</c:v>
                </c:pt>
                <c:pt idx="170">
                  <c:v>49795</c:v>
                </c:pt>
                <c:pt idx="171">
                  <c:v>49826</c:v>
                </c:pt>
                <c:pt idx="172">
                  <c:v>49856</c:v>
                </c:pt>
                <c:pt idx="173">
                  <c:v>49887</c:v>
                </c:pt>
                <c:pt idx="174">
                  <c:v>49918</c:v>
                </c:pt>
                <c:pt idx="175">
                  <c:v>49948</c:v>
                </c:pt>
                <c:pt idx="176">
                  <c:v>49979</c:v>
                </c:pt>
                <c:pt idx="177">
                  <c:v>50009</c:v>
                </c:pt>
                <c:pt idx="178">
                  <c:v>50040</c:v>
                </c:pt>
                <c:pt idx="179">
                  <c:v>50071</c:v>
                </c:pt>
                <c:pt idx="180">
                  <c:v>50099</c:v>
                </c:pt>
                <c:pt idx="181">
                  <c:v>50130</c:v>
                </c:pt>
                <c:pt idx="182">
                  <c:v>50160</c:v>
                </c:pt>
                <c:pt idx="183">
                  <c:v>50191</c:v>
                </c:pt>
                <c:pt idx="184">
                  <c:v>50221</c:v>
                </c:pt>
                <c:pt idx="185">
                  <c:v>50252</c:v>
                </c:pt>
                <c:pt idx="186">
                  <c:v>50283</c:v>
                </c:pt>
                <c:pt idx="187">
                  <c:v>50313</c:v>
                </c:pt>
                <c:pt idx="188">
                  <c:v>50344</c:v>
                </c:pt>
                <c:pt idx="189">
                  <c:v>50374</c:v>
                </c:pt>
                <c:pt idx="190">
                  <c:v>50405</c:v>
                </c:pt>
                <c:pt idx="191">
                  <c:v>50436</c:v>
                </c:pt>
                <c:pt idx="192">
                  <c:v>50464</c:v>
                </c:pt>
                <c:pt idx="193">
                  <c:v>50495</c:v>
                </c:pt>
                <c:pt idx="194">
                  <c:v>50525</c:v>
                </c:pt>
                <c:pt idx="195">
                  <c:v>50556</c:v>
                </c:pt>
                <c:pt idx="196">
                  <c:v>50586</c:v>
                </c:pt>
                <c:pt idx="197">
                  <c:v>50617</c:v>
                </c:pt>
                <c:pt idx="198">
                  <c:v>50648</c:v>
                </c:pt>
                <c:pt idx="199">
                  <c:v>50678</c:v>
                </c:pt>
                <c:pt idx="200">
                  <c:v>50709</c:v>
                </c:pt>
                <c:pt idx="201">
                  <c:v>50739</c:v>
                </c:pt>
                <c:pt idx="202">
                  <c:v>50770</c:v>
                </c:pt>
                <c:pt idx="203">
                  <c:v>50801</c:v>
                </c:pt>
                <c:pt idx="204">
                  <c:v>50829</c:v>
                </c:pt>
                <c:pt idx="205">
                  <c:v>50860</c:v>
                </c:pt>
                <c:pt idx="206">
                  <c:v>50890</c:v>
                </c:pt>
                <c:pt idx="207">
                  <c:v>50921</c:v>
                </c:pt>
                <c:pt idx="208">
                  <c:v>50951</c:v>
                </c:pt>
                <c:pt idx="209">
                  <c:v>50982</c:v>
                </c:pt>
                <c:pt idx="210">
                  <c:v>51013</c:v>
                </c:pt>
                <c:pt idx="211">
                  <c:v>51043</c:v>
                </c:pt>
                <c:pt idx="212">
                  <c:v>51074</c:v>
                </c:pt>
                <c:pt idx="213">
                  <c:v>51104</c:v>
                </c:pt>
                <c:pt idx="214">
                  <c:v>51135</c:v>
                </c:pt>
                <c:pt idx="215">
                  <c:v>51166</c:v>
                </c:pt>
                <c:pt idx="216">
                  <c:v>51195</c:v>
                </c:pt>
                <c:pt idx="217">
                  <c:v>51226</c:v>
                </c:pt>
                <c:pt idx="218">
                  <c:v>51256</c:v>
                </c:pt>
                <c:pt idx="219">
                  <c:v>51287</c:v>
                </c:pt>
                <c:pt idx="220">
                  <c:v>51317</c:v>
                </c:pt>
                <c:pt idx="221">
                  <c:v>51348</c:v>
                </c:pt>
                <c:pt idx="222">
                  <c:v>51379</c:v>
                </c:pt>
                <c:pt idx="223">
                  <c:v>51409</c:v>
                </c:pt>
                <c:pt idx="224">
                  <c:v>51440</c:v>
                </c:pt>
                <c:pt idx="225">
                  <c:v>51470</c:v>
                </c:pt>
                <c:pt idx="226">
                  <c:v>51501</c:v>
                </c:pt>
                <c:pt idx="227">
                  <c:v>51532</c:v>
                </c:pt>
                <c:pt idx="228">
                  <c:v>51560</c:v>
                </c:pt>
                <c:pt idx="229">
                  <c:v>51591</c:v>
                </c:pt>
                <c:pt idx="230">
                  <c:v>51621</c:v>
                </c:pt>
                <c:pt idx="231">
                  <c:v>51652</c:v>
                </c:pt>
                <c:pt idx="232">
                  <c:v>51682</c:v>
                </c:pt>
                <c:pt idx="233">
                  <c:v>51713</c:v>
                </c:pt>
                <c:pt idx="234">
                  <c:v>51744</c:v>
                </c:pt>
                <c:pt idx="235">
                  <c:v>51774</c:v>
                </c:pt>
                <c:pt idx="236">
                  <c:v>51805</c:v>
                </c:pt>
                <c:pt idx="237">
                  <c:v>51835</c:v>
                </c:pt>
                <c:pt idx="238">
                  <c:v>51866</c:v>
                </c:pt>
                <c:pt idx="239">
                  <c:v>51897</c:v>
                </c:pt>
              </c:numCache>
            </c:numRef>
          </c:cat>
          <c:val>
            <c:numRef>
              <c:f>'Oil Production'!$E$13:$E$252</c:f>
              <c:numCache>
                <c:formatCode>_-* #,##0_-;\-* #,##0_-;_-* "-"??_-;_-@_-</c:formatCode>
                <c:ptCount val="240"/>
                <c:pt idx="0">
                  <c:v>800</c:v>
                </c:pt>
                <c:pt idx="1">
                  <c:v>617.56866065061888</c:v>
                </c:pt>
                <c:pt idx="2">
                  <c:v>482.75362814177458</c:v>
                </c:pt>
                <c:pt idx="3">
                  <c:v>392.0857461672245</c:v>
                </c:pt>
                <c:pt idx="4">
                  <c:v>323.99818360708991</c:v>
                </c:pt>
                <c:pt idx="5">
                  <c:v>274.47364645543956</c:v>
                </c:pt>
                <c:pt idx="6">
                  <c:v>234.90890484538747</c:v>
                </c:pt>
                <c:pt idx="7">
                  <c:v>203.73990935089847</c:v>
                </c:pt>
                <c:pt idx="8">
                  <c:v>179.42758449731545</c:v>
                </c:pt>
                <c:pt idx="9">
                  <c:v>158.8419957174257</c:v>
                </c:pt>
                <c:pt idx="10">
                  <c:v>142.29457374596652</c:v>
                </c:pt>
                <c:pt idx="11">
                  <c:v>127.91557864600159</c:v>
                </c:pt>
                <c:pt idx="12">
                  <c:v>115.72810680539119</c:v>
                </c:pt>
                <c:pt idx="13">
                  <c:v>106.24018884327872</c:v>
                </c:pt>
                <c:pt idx="14">
                  <c:v>97.110710506969653</c:v>
                </c:pt>
                <c:pt idx="15">
                  <c:v>89.41434506463662</c:v>
                </c:pt>
                <c:pt idx="16">
                  <c:v>82.438242533976634</c:v>
                </c:pt>
                <c:pt idx="17">
                  <c:v>76.480574277749596</c:v>
                </c:pt>
                <c:pt idx="18">
                  <c:v>71.016700834127249</c:v>
                </c:pt>
                <c:pt idx="19">
                  <c:v>66.151654460174797</c:v>
                </c:pt>
                <c:pt idx="20">
                  <c:v>61.931950802865174</c:v>
                </c:pt>
                <c:pt idx="21">
                  <c:v>58.006663329698881</c:v>
                </c:pt>
                <c:pt idx="22">
                  <c:v>54.573623030211998</c:v>
                </c:pt>
                <c:pt idx="23">
                  <c:v>51.355474333193492</c:v>
                </c:pt>
                <c:pt idx="24">
                  <c:v>48.430564098004517</c:v>
                </c:pt>
                <c:pt idx="25">
                  <c:v>45.928281386174966</c:v>
                </c:pt>
                <c:pt idx="26">
                  <c:v>43.47472394368905</c:v>
                </c:pt>
                <c:pt idx="27">
                  <c:v>41.294017971650263</c:v>
                </c:pt>
                <c:pt idx="28">
                  <c:v>39.218892039351552</c:v>
                </c:pt>
                <c:pt idx="29">
                  <c:v>37.365089414304656</c:v>
                </c:pt>
                <c:pt idx="30">
                  <c:v>35.592552910729104</c:v>
                </c:pt>
                <c:pt idx="31">
                  <c:v>33.95082528049916</c:v>
                </c:pt>
                <c:pt idx="32">
                  <c:v>32.474426704922614</c:v>
                </c:pt>
                <c:pt idx="33">
                  <c:v>31.05387607059383</c:v>
                </c:pt>
                <c:pt idx="34">
                  <c:v>29.771483787194125</c:v>
                </c:pt>
                <c:pt idx="35">
                  <c:v>28.53311956967168</c:v>
                </c:pt>
                <c:pt idx="36">
                  <c:v>27.375162782954959</c:v>
                </c:pt>
                <c:pt idx="37">
                  <c:v>26.392533399617825</c:v>
                </c:pt>
                <c:pt idx="38">
                  <c:v>25.368882763090053</c:v>
                </c:pt>
                <c:pt idx="39">
                  <c:v>24.437413077029479</c:v>
                </c:pt>
                <c:pt idx="40">
                  <c:v>23.531091975379194</c:v>
                </c:pt>
                <c:pt idx="41">
                  <c:v>22.704140914481727</c:v>
                </c:pt>
                <c:pt idx="42">
                  <c:v>21.89742367914333</c:v>
                </c:pt>
                <c:pt idx="43">
                  <c:v>21.135610507717956</c:v>
                </c:pt>
                <c:pt idx="44">
                  <c:v>20.437953324139151</c:v>
                </c:pt>
                <c:pt idx="45">
                  <c:v>19.754966935722599</c:v>
                </c:pt>
                <c:pt idx="46">
                  <c:v>19.128124679972906</c:v>
                </c:pt>
                <c:pt idx="47">
                  <c:v>18.513170684900505</c:v>
                </c:pt>
                <c:pt idx="48">
                  <c:v>17.929249895943723</c:v>
                </c:pt>
                <c:pt idx="49">
                  <c:v>17.426749729992313</c:v>
                </c:pt>
                <c:pt idx="50">
                  <c:v>16.896203548101937</c:v>
                </c:pt>
                <c:pt idx="51">
                  <c:v>16.40695344644827</c:v>
                </c:pt>
                <c:pt idx="52">
                  <c:v>15.92478452494027</c:v>
                </c:pt>
                <c:pt idx="53">
                  <c:v>15.479396382724083</c:v>
                </c:pt>
                <c:pt idx="54">
                  <c:v>15.039740579559796</c:v>
                </c:pt>
                <c:pt idx="55">
                  <c:v>14.619729507903338</c:v>
                </c:pt>
                <c:pt idx="56">
                  <c:v>14.230852835468614</c:v>
                </c:pt>
                <c:pt idx="57">
                  <c:v>13.846116219123285</c:v>
                </c:pt>
                <c:pt idx="58">
                  <c:v>13.48939293725512</c:v>
                </c:pt>
                <c:pt idx="59">
                  <c:v>13.13598212853949</c:v>
                </c:pt>
                <c:pt idx="60">
                  <c:v>12.797156361223234</c:v>
                </c:pt>
                <c:pt idx="61">
                  <c:v>12.502977246592064</c:v>
                </c:pt>
                <c:pt idx="62">
                  <c:v>12.189706027645494</c:v>
                </c:pt>
                <c:pt idx="63">
                  <c:v>11.898327619982723</c:v>
                </c:pt>
                <c:pt idx="64">
                  <c:v>11.608771675631228</c:v>
                </c:pt>
                <c:pt idx="65">
                  <c:v>11.339142524031999</c:v>
                </c:pt>
                <c:pt idx="66">
                  <c:v>11.070901680792518</c:v>
                </c:pt>
                <c:pt idx="67">
                  <c:v>10.812671525930208</c:v>
                </c:pt>
                <c:pt idx="68">
                  <c:v>10.571825472095073</c:v>
                </c:pt>
                <c:pt idx="69">
                  <c:v>10.331844892636838</c:v>
                </c:pt>
                <c:pt idx="70">
                  <c:v>10.107797265248438</c:v>
                </c:pt>
                <c:pt idx="71">
                  <c:v>9.8843388028162522</c:v>
                </c:pt>
                <c:pt idx="72">
                  <c:v>9.668680977995761</c:v>
                </c:pt>
                <c:pt idx="73">
                  <c:v>9.4736708215988497</c:v>
                </c:pt>
                <c:pt idx="74">
                  <c:v>9.2720806055098191</c:v>
                </c:pt>
                <c:pt idx="75">
                  <c:v>9.0834489665172633</c:v>
                </c:pt>
                <c:pt idx="76">
                  <c:v>8.8948990943719419</c:v>
                </c:pt>
                <c:pt idx="77">
                  <c:v>8.7183233214504483</c:v>
                </c:pt>
                <c:pt idx="78">
                  <c:v>8.5416814619232682</c:v>
                </c:pt>
                <c:pt idx="79">
                  <c:v>8.3706970830688743</c:v>
                </c:pt>
                <c:pt idx="80">
                  <c:v>8.2103830174445527</c:v>
                </c:pt>
                <c:pt idx="81">
                  <c:v>8.0498249610249282</c:v>
                </c:pt>
                <c:pt idx="82">
                  <c:v>7.8991760557226636</c:v>
                </c:pt>
                <c:pt idx="83">
                  <c:v>7.7481897194987095</c:v>
                </c:pt>
                <c:pt idx="84">
                  <c:v>7.6017685644087321</c:v>
                </c:pt>
                <c:pt idx="85">
                  <c:v>7.4732847728071228</c:v>
                </c:pt>
                <c:pt idx="86">
                  <c:v>7.3350418080163236</c:v>
                </c:pt>
                <c:pt idx="87">
                  <c:v>7.2051129352706003</c:v>
                </c:pt>
                <c:pt idx="88">
                  <c:v>7.0746792974795421</c:v>
                </c:pt>
                <c:pt idx="89">
                  <c:v>6.9520131628732784</c:v>
                </c:pt>
                <c:pt idx="90">
                  <c:v>6.8287948867605337</c:v>
                </c:pt>
                <c:pt idx="91">
                  <c:v>6.7090341161236982</c:v>
                </c:pt>
                <c:pt idx="92">
                  <c:v>6.5963042140928376</c:v>
                </c:pt>
                <c:pt idx="93">
                  <c:v>6.4829674537098221</c:v>
                </c:pt>
                <c:pt idx="94">
                  <c:v>6.3762242110391982</c:v>
                </c:pt>
                <c:pt idx="95">
                  <c:v>6.2688470188138403</c:v>
                </c:pt>
                <c:pt idx="96">
                  <c:v>6.1643340831790834</c:v>
                </c:pt>
                <c:pt idx="97">
                  <c:v>6.0723105774268955</c:v>
                </c:pt>
                <c:pt idx="98">
                  <c:v>5.9729655708290617</c:v>
                </c:pt>
                <c:pt idx="99">
                  <c:v>5.8792781310682845</c:v>
                </c:pt>
                <c:pt idx="100">
                  <c:v>5.7849138887225138</c:v>
                </c:pt>
                <c:pt idx="101">
                  <c:v>5.6958798197982201</c:v>
                </c:pt>
                <c:pt idx="102">
                  <c:v>5.6061593323810364</c:v>
                </c:pt>
                <c:pt idx="103">
                  <c:v>5.5186788810582312</c:v>
                </c:pt>
                <c:pt idx="104">
                  <c:v>5.4360814087339904</c:v>
                </c:pt>
                <c:pt idx="105">
                  <c:v>5.3527893973872542</c:v>
                </c:pt>
                <c:pt idx="106">
                  <c:v>5.2741113876474648</c:v>
                </c:pt>
                <c:pt idx="107">
                  <c:v>5.1947369517845106</c:v>
                </c:pt>
                <c:pt idx="108">
                  <c:v>5.1172567167557368</c:v>
                </c:pt>
                <c:pt idx="109">
                  <c:v>5.0488513824001222</c:v>
                </c:pt>
                <c:pt idx="110">
                  <c:v>4.9748081501821098</c:v>
                </c:pt>
                <c:pt idx="111">
                  <c:v>4.9047937681566856</c:v>
                </c:pt>
                <c:pt idx="112">
                  <c:v>4.8340874301093288</c:v>
                </c:pt>
                <c:pt idx="113">
                  <c:v>4.7672019343696359</c:v>
                </c:pt>
                <c:pt idx="114">
                  <c:v>4.6996291565640167</c:v>
                </c:pt>
                <c:pt idx="115">
                  <c:v>4.6335759474347462</c:v>
                </c:pt>
                <c:pt idx="116">
                  <c:v>4.5710564189885874</c:v>
                </c:pt>
                <c:pt idx="117">
                  <c:v>4.5078589815021823</c:v>
                </c:pt>
                <c:pt idx="118">
                  <c:v>4.4480207115683212</c:v>
                </c:pt>
                <c:pt idx="119">
                  <c:v>4.3875119912714213</c:v>
                </c:pt>
                <c:pt idx="120">
                  <c:v>4.3283096138038593</c:v>
                </c:pt>
                <c:pt idx="121">
                  <c:v>4.2740752890954425</c:v>
                </c:pt>
                <c:pt idx="122">
                  <c:v>4.2172933064097187</c:v>
                </c:pt>
                <c:pt idx="123">
                  <c:v>4.1634834673471204</c:v>
                </c:pt>
                <c:pt idx="124">
                  <c:v>4.1090249010944495</c:v>
                </c:pt>
                <c:pt idx="125">
                  <c:v>4.057400098891665</c:v>
                </c:pt>
                <c:pt idx="126">
                  <c:v>4.0051362067677401</c:v>
                </c:pt>
                <c:pt idx="127">
                  <c:v>3.9539411987223843</c:v>
                </c:pt>
                <c:pt idx="128">
                  <c:v>3.9053872584520621</c:v>
                </c:pt>
                <c:pt idx="129">
                  <c:v>3.8562094313873079</c:v>
                </c:pt>
                <c:pt idx="130">
                  <c:v>3.8095545780637434</c:v>
                </c:pt>
                <c:pt idx="131">
                  <c:v>3.7622862398549466</c:v>
                </c:pt>
                <c:pt idx="132">
                  <c:v>3.7159493610165399</c:v>
                </c:pt>
                <c:pt idx="133">
                  <c:v>3.6748764491322308</c:v>
                </c:pt>
                <c:pt idx="134">
                  <c:v>3.6302438413107647</c:v>
                </c:pt>
                <c:pt idx="135">
                  <c:v>3.5878710612716915</c:v>
                </c:pt>
                <c:pt idx="136">
                  <c:v>3.5449111743201169</c:v>
                </c:pt>
                <c:pt idx="137">
                  <c:v>3.5041153404655234</c:v>
                </c:pt>
                <c:pt idx="138">
                  <c:v>3.4627431729048248</c:v>
                </c:pt>
                <c:pt idx="139">
                  <c:v>3.4221470580751792</c:v>
                </c:pt>
                <c:pt idx="140">
                  <c:v>3.3835806747585093</c:v>
                </c:pt>
                <c:pt idx="141">
                  <c:v>3.3444542018696879</c:v>
                </c:pt>
                <c:pt idx="142">
                  <c:v>3.3072745675982578</c:v>
                </c:pt>
                <c:pt idx="143">
                  <c:v>3.269545563440047</c:v>
                </c:pt>
                <c:pt idx="144">
                  <c:v>3.2325005288824449</c:v>
                </c:pt>
                <c:pt idx="145">
                  <c:v>3.1996142878304945</c:v>
                </c:pt>
                <c:pt idx="146">
                  <c:v>3.1638246590081538</c:v>
                </c:pt>
                <c:pt idx="147">
                  <c:v>3.1297954925850244</c:v>
                </c:pt>
                <c:pt idx="148">
                  <c:v>3.0952431328634527</c:v>
                </c:pt>
                <c:pt idx="149">
                  <c:v>3.062382798505086</c:v>
                </c:pt>
                <c:pt idx="150">
                  <c:v>3.0290096486249189</c:v>
                </c:pt>
                <c:pt idx="151">
                  <c:v>2.9962146259729541</c:v>
                </c:pt>
                <c:pt idx="152">
                  <c:v>2.9650150715661141</c:v>
                </c:pt>
                <c:pt idx="153">
                  <c:v>2.9333180910949848</c:v>
                </c:pt>
                <c:pt idx="154">
                  <c:v>2.9031566419739088</c:v>
                </c:pt>
                <c:pt idx="155">
                  <c:v>2.8725077800674907</c:v>
                </c:pt>
                <c:pt idx="156">
                  <c:v>2.8423733584919515</c:v>
                </c:pt>
                <c:pt idx="157">
                  <c:v>2.8155875227019775</c:v>
                </c:pt>
                <c:pt idx="158">
                  <c:v>2.7863998854823691</c:v>
                </c:pt>
                <c:pt idx="159">
                  <c:v>2.7586119887508591</c:v>
                </c:pt>
                <c:pt idx="160">
                  <c:v>2.7303607529274845</c:v>
                </c:pt>
                <c:pt idx="161">
                  <c:v>2.7034590200079767</c:v>
                </c:pt>
                <c:pt idx="162">
                  <c:v>2.6761033699104306</c:v>
                </c:pt>
                <c:pt idx="163">
                  <c:v>2.6491879346262373</c:v>
                </c:pt>
                <c:pt idx="164">
                  <c:v>2.6235507607082731</c:v>
                </c:pt>
                <c:pt idx="165">
                  <c:v>2.5974735377710236</c:v>
                </c:pt>
                <c:pt idx="166">
                  <c:v>2.5726301327711707</c:v>
                </c:pt>
                <c:pt idx="167">
                  <c:v>2.5473556440996439</c:v>
                </c:pt>
                <c:pt idx="168">
                  <c:v>2.5224761162975273</c:v>
                </c:pt>
                <c:pt idx="169">
                  <c:v>2.4995518030186807</c:v>
                </c:pt>
                <c:pt idx="170">
                  <c:v>2.4754129498711115</c:v>
                </c:pt>
                <c:pt idx="171">
                  <c:v>2.4524059343293789</c:v>
                </c:pt>
                <c:pt idx="172">
                  <c:v>2.4289893716118711</c:v>
                </c:pt>
                <c:pt idx="173">
                  <c:v>2.4066669382697232</c:v>
                </c:pt>
                <c:pt idx="174">
                  <c:v>2.3839432788309787</c:v>
                </c:pt>
                <c:pt idx="175">
                  <c:v>2.3615609744613111</c:v>
                </c:pt>
                <c:pt idx="176">
                  <c:v>2.340219090126344</c:v>
                </c:pt>
                <c:pt idx="177">
                  <c:v>2.3184881841204219</c:v>
                </c:pt>
                <c:pt idx="178">
                  <c:v>2.2977640473590557</c:v>
                </c:pt>
                <c:pt idx="179">
                  <c:v>2.2766587544759314</c:v>
                </c:pt>
                <c:pt idx="180">
                  <c:v>2.2558619293185171</c:v>
                </c:pt>
                <c:pt idx="181">
                  <c:v>2.2373377032855006</c:v>
                </c:pt>
                <c:pt idx="182">
                  <c:v>2.2171110584617062</c:v>
                </c:pt>
                <c:pt idx="183">
                  <c:v>2.1978140113892923</c:v>
                </c:pt>
                <c:pt idx="184">
                  <c:v>2.1781545174202375</c:v>
                </c:pt>
                <c:pt idx="185">
                  <c:v>2.1593957254597531</c:v>
                </c:pt>
                <c:pt idx="186">
                  <c:v>2.1402817438139601</c:v>
                </c:pt>
                <c:pt idx="187">
                  <c:v>2.12143703280596</c:v>
                </c:pt>
                <c:pt idx="188">
                  <c:v>2.1034517092372589</c:v>
                </c:pt>
                <c:pt idx="189">
                  <c:v>2.0851218228758159</c:v>
                </c:pt>
                <c:pt idx="190">
                  <c:v>2.0676253418980277</c:v>
                </c:pt>
                <c:pt idx="191">
                  <c:v>2.0497911376222953</c:v>
                </c:pt>
                <c:pt idx="192">
                  <c:v>2.0322017907131218</c:v>
                </c:pt>
                <c:pt idx="193">
                  <c:v>2.0165212713240033</c:v>
                </c:pt>
                <c:pt idx="194">
                  <c:v>1.9993853289915942</c:v>
                </c:pt>
                <c:pt idx="195">
                  <c:v>1.9830229129460344</c:v>
                </c:pt>
                <c:pt idx="196">
                  <c:v>1.9663390185625584</c:v>
                </c:pt>
                <c:pt idx="197">
                  <c:v>1.9504061201308851</c:v>
                </c:pt>
                <c:pt idx="198">
                  <c:v>1.9341580375237677</c:v>
                </c:pt>
                <c:pt idx="199">
                  <c:v>1.9181254479401788</c:v>
                </c:pt>
                <c:pt idx="200">
                  <c:v>1.902811532932613</c:v>
                </c:pt>
                <c:pt idx="201">
                  <c:v>1.8871916450357142</c:v>
                </c:pt>
                <c:pt idx="202">
                  <c:v>1.8722700384176771</c:v>
                </c:pt>
                <c:pt idx="203">
                  <c:v>1.8570483846672705</c:v>
                </c:pt>
                <c:pt idx="204">
                  <c:v>1.8420237740263319</c:v>
                </c:pt>
                <c:pt idx="205">
                  <c:v>1.8286196159411274</c:v>
                </c:pt>
                <c:pt idx="206">
                  <c:v>1.8139604452612506</c:v>
                </c:pt>
                <c:pt idx="207">
                  <c:v>1.7999523522822067</c:v>
                </c:pt>
                <c:pt idx="208">
                  <c:v>1.7856582815539668</c:v>
                </c:pt>
                <c:pt idx="209">
                  <c:v>1.7719974510881376</c:v>
                </c:pt>
                <c:pt idx="210">
                  <c:v>1.7580560930552827</c:v>
                </c:pt>
                <c:pt idx="211">
                  <c:v>1.7442894061928238</c:v>
                </c:pt>
                <c:pt idx="212">
                  <c:v>1.7311302947041771</c:v>
                </c:pt>
                <c:pt idx="213">
                  <c:v>1.7176986317512346</c:v>
                </c:pt>
                <c:pt idx="214">
                  <c:v>1.7048583036342289</c:v>
                </c:pt>
                <c:pt idx="215">
                  <c:v>1.6917505555814982</c:v>
                </c:pt>
                <c:pt idx="216">
                  <c:v>1.6788033125141266</c:v>
                </c:pt>
                <c:pt idx="217">
                  <c:v>1.6668342979579642</c:v>
                </c:pt>
                <c:pt idx="218">
                  <c:v>1.6541901184316972</c:v>
                </c:pt>
                <c:pt idx="219">
                  <c:v>1.642099298425137</c:v>
                </c:pt>
                <c:pt idx="220">
                  <c:v>1.6297533234043537</c:v>
                </c:pt>
                <c:pt idx="221">
                  <c:v>1.6179464018043193</c:v>
                </c:pt>
                <c:pt idx="222">
                  <c:v>1.6058890458400199</c:v>
                </c:pt>
                <c:pt idx="223">
                  <c:v>1.5939748170122787</c:v>
                </c:pt>
                <c:pt idx="224">
                  <c:v>1.5825790032553422</c:v>
                </c:pt>
                <c:pt idx="225">
                  <c:v>1.5709396658776247</c:v>
                </c:pt>
                <c:pt idx="226">
                  <c:v>1.5598056497966877</c:v>
                </c:pt>
                <c:pt idx="227">
                  <c:v>1.5484325578928018</c:v>
                </c:pt>
                <c:pt idx="228">
                  <c:v>1.5371915682711326</c:v>
                </c:pt>
                <c:pt idx="229">
                  <c:v>1.5271502129057142</c:v>
                </c:pt>
                <c:pt idx="230">
                  <c:v>1.5161548753824912</c:v>
                </c:pt>
                <c:pt idx="231">
                  <c:v>1.5056343292725431</c:v>
                </c:pt>
                <c:pt idx="232">
                  <c:v>1.4948852765167981</c:v>
                </c:pt>
                <c:pt idx="233">
                  <c:v>1.4845993947127909</c:v>
                </c:pt>
                <c:pt idx="234">
                  <c:v>1.474089104729843</c:v>
                </c:pt>
                <c:pt idx="235">
                  <c:v>1.463697363997013</c:v>
                </c:pt>
                <c:pt idx="236">
                  <c:v>1.4537519906436374</c:v>
                </c:pt>
                <c:pt idx="237">
                  <c:v>1.4435882121562693</c:v>
                </c:pt>
                <c:pt idx="238">
                  <c:v>1.4338601154043507</c:v>
                </c:pt>
                <c:pt idx="239">
                  <c:v>1.4239174792496407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8-4699-8296-CF7D0019F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43616"/>
        <c:axId val="128945536"/>
      </c:lineChart>
      <c:dateAx>
        <c:axId val="128943616"/>
        <c:scaling>
          <c:orientation val="minMax"/>
        </c:scaling>
        <c:delete val="0"/>
        <c:axPos val="b"/>
        <c:numFmt formatCode="m/dd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45536"/>
        <c:crosses val="autoZero"/>
        <c:auto val="0"/>
        <c:lblOffset val="100"/>
        <c:baseTimeUnit val="months"/>
      </c:dateAx>
      <c:valAx>
        <c:axId val="128945536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'Gas Production'!$B$18:$B$284</c:f>
              <c:numCache>
                <c:formatCode>0.00</c:formatCode>
                <c:ptCount val="267"/>
                <c:pt idx="0">
                  <c:v>-3.1733294426636799E-3</c:v>
                </c:pt>
                <c:pt idx="1">
                  <c:v>0.28228042019258398</c:v>
                </c:pt>
                <c:pt idx="2">
                  <c:v>0.70903851765392101</c:v>
                </c:pt>
                <c:pt idx="3">
                  <c:v>1.1334257367960201</c:v>
                </c:pt>
                <c:pt idx="4">
                  <c:v>2.1239786985701699</c:v>
                </c:pt>
                <c:pt idx="5">
                  <c:v>2.47818791946308</c:v>
                </c:pt>
                <c:pt idx="6">
                  <c:v>3.1145316603443201</c:v>
                </c:pt>
                <c:pt idx="7">
                  <c:v>3.6806974029763602</c:v>
                </c:pt>
                <c:pt idx="8">
                  <c:v>4.2473373212722398</c:v>
                </c:pt>
                <c:pt idx="9">
                  <c:v>4.8841552378173301</c:v>
                </c:pt>
                <c:pt idx="10">
                  <c:v>5.3094908082871299</c:v>
                </c:pt>
                <c:pt idx="11">
                  <c:v>6.5096294134811696</c:v>
                </c:pt>
                <c:pt idx="12">
                  <c:v>7.0056171578640098</c:v>
                </c:pt>
                <c:pt idx="13">
                  <c:v>7.2901225561715703</c:v>
                </c:pt>
                <c:pt idx="14">
                  <c:v>7.6457543040560196</c:v>
                </c:pt>
                <c:pt idx="15">
                  <c:v>8.0018602276043094</c:v>
                </c:pt>
                <c:pt idx="16">
                  <c:v>8.5727677268748099</c:v>
                </c:pt>
                <c:pt idx="17">
                  <c:v>8.7875693025970207</c:v>
                </c:pt>
                <c:pt idx="18">
                  <c:v>9.3575284505398209</c:v>
                </c:pt>
                <c:pt idx="19">
                  <c:v>9.6425080245112298</c:v>
                </c:pt>
                <c:pt idx="20">
                  <c:v>9.9990881237233697</c:v>
                </c:pt>
                <c:pt idx="21">
                  <c:v>10.355194047271601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13.999999999999998</c:v>
                </c:pt>
                <c:pt idx="26">
                  <c:v>14.999999999999996</c:v>
                </c:pt>
                <c:pt idx="27">
                  <c:v>15.999999999999996</c:v>
                </c:pt>
                <c:pt idx="28">
                  <c:v>16.999999999999996</c:v>
                </c:pt>
                <c:pt idx="29">
                  <c:v>17.999999999999993</c:v>
                </c:pt>
                <c:pt idx="30">
                  <c:v>18.999999999999993</c:v>
                </c:pt>
                <c:pt idx="31">
                  <c:v>19.999999999999993</c:v>
                </c:pt>
                <c:pt idx="32">
                  <c:v>20.999999999999993</c:v>
                </c:pt>
                <c:pt idx="33">
                  <c:v>21.999999999999993</c:v>
                </c:pt>
                <c:pt idx="34">
                  <c:v>22.999999999999989</c:v>
                </c:pt>
                <c:pt idx="35">
                  <c:v>23.999999999999989</c:v>
                </c:pt>
                <c:pt idx="36">
                  <c:v>24.999999999999993</c:v>
                </c:pt>
                <c:pt idx="37">
                  <c:v>25.999999999999993</c:v>
                </c:pt>
                <c:pt idx="38">
                  <c:v>26.999999999999993</c:v>
                </c:pt>
                <c:pt idx="39">
                  <c:v>27.999999999999996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33.000000000000007</c:v>
                </c:pt>
                <c:pt idx="45">
                  <c:v>34.000000000000007</c:v>
                </c:pt>
                <c:pt idx="46">
                  <c:v>35.000000000000007</c:v>
                </c:pt>
                <c:pt idx="47">
                  <c:v>36.000000000000014</c:v>
                </c:pt>
                <c:pt idx="48">
                  <c:v>37.000000000000014</c:v>
                </c:pt>
                <c:pt idx="49">
                  <c:v>38.000000000000014</c:v>
                </c:pt>
                <c:pt idx="50">
                  <c:v>39.000000000000014</c:v>
                </c:pt>
                <c:pt idx="51">
                  <c:v>40.000000000000014</c:v>
                </c:pt>
                <c:pt idx="52">
                  <c:v>41.000000000000021</c:v>
                </c:pt>
                <c:pt idx="53">
                  <c:v>42.000000000000021</c:v>
                </c:pt>
                <c:pt idx="54">
                  <c:v>43.000000000000021</c:v>
                </c:pt>
                <c:pt idx="55">
                  <c:v>44.000000000000028</c:v>
                </c:pt>
                <c:pt idx="56">
                  <c:v>45.000000000000028</c:v>
                </c:pt>
                <c:pt idx="57">
                  <c:v>46.000000000000028</c:v>
                </c:pt>
                <c:pt idx="58">
                  <c:v>47.000000000000028</c:v>
                </c:pt>
                <c:pt idx="59">
                  <c:v>48.000000000000028</c:v>
                </c:pt>
                <c:pt idx="60">
                  <c:v>49.000000000000028</c:v>
                </c:pt>
                <c:pt idx="61">
                  <c:v>50.000000000000028</c:v>
                </c:pt>
                <c:pt idx="62">
                  <c:v>51.000000000000021</c:v>
                </c:pt>
                <c:pt idx="63">
                  <c:v>52.000000000000014</c:v>
                </c:pt>
                <c:pt idx="64">
                  <c:v>53.000000000000014</c:v>
                </c:pt>
                <c:pt idx="65">
                  <c:v>54.000000000000014</c:v>
                </c:pt>
                <c:pt idx="66">
                  <c:v>55.000000000000007</c:v>
                </c:pt>
                <c:pt idx="67">
                  <c:v>56</c:v>
                </c:pt>
                <c:pt idx="68">
                  <c:v>57</c:v>
                </c:pt>
                <c:pt idx="69">
                  <c:v>58</c:v>
                </c:pt>
                <c:pt idx="70">
                  <c:v>58.999999999999993</c:v>
                </c:pt>
                <c:pt idx="71">
                  <c:v>59.999999999999986</c:v>
                </c:pt>
                <c:pt idx="72">
                  <c:v>60.999999999999986</c:v>
                </c:pt>
                <c:pt idx="73">
                  <c:v>61.999999999999986</c:v>
                </c:pt>
                <c:pt idx="74">
                  <c:v>62.999999999999979</c:v>
                </c:pt>
                <c:pt idx="75">
                  <c:v>63.999999999999972</c:v>
                </c:pt>
                <c:pt idx="76">
                  <c:v>64.999999999999972</c:v>
                </c:pt>
                <c:pt idx="77">
                  <c:v>65.999999999999972</c:v>
                </c:pt>
                <c:pt idx="78">
                  <c:v>66.999999999999972</c:v>
                </c:pt>
                <c:pt idx="79">
                  <c:v>67.999999999999957</c:v>
                </c:pt>
                <c:pt idx="80">
                  <c:v>68.999999999999957</c:v>
                </c:pt>
                <c:pt idx="81">
                  <c:v>69.999999999999957</c:v>
                </c:pt>
                <c:pt idx="82">
                  <c:v>70.999999999999943</c:v>
                </c:pt>
                <c:pt idx="83">
                  <c:v>71.999999999999943</c:v>
                </c:pt>
                <c:pt idx="84">
                  <c:v>72.999999999999943</c:v>
                </c:pt>
                <c:pt idx="85">
                  <c:v>73.999999999999943</c:v>
                </c:pt>
                <c:pt idx="86">
                  <c:v>74.999999999999943</c:v>
                </c:pt>
                <c:pt idx="87">
                  <c:v>75.999999999999929</c:v>
                </c:pt>
                <c:pt idx="88">
                  <c:v>76.999999999999929</c:v>
                </c:pt>
                <c:pt idx="89">
                  <c:v>77.999999999999929</c:v>
                </c:pt>
                <c:pt idx="90">
                  <c:v>78.999999999999915</c:v>
                </c:pt>
                <c:pt idx="91">
                  <c:v>79.999999999999915</c:v>
                </c:pt>
                <c:pt idx="92">
                  <c:v>80.999999999999915</c:v>
                </c:pt>
                <c:pt idx="93">
                  <c:v>81.999999999999915</c:v>
                </c:pt>
                <c:pt idx="94">
                  <c:v>82.999999999999915</c:v>
                </c:pt>
                <c:pt idx="95">
                  <c:v>83.999999999999901</c:v>
                </c:pt>
                <c:pt idx="96">
                  <c:v>84.999999999999901</c:v>
                </c:pt>
                <c:pt idx="97">
                  <c:v>85.999999999999901</c:v>
                </c:pt>
                <c:pt idx="98">
                  <c:v>86.999999999999886</c:v>
                </c:pt>
                <c:pt idx="99">
                  <c:v>87.999999999999886</c:v>
                </c:pt>
                <c:pt idx="100">
                  <c:v>88.999999999999886</c:v>
                </c:pt>
                <c:pt idx="101">
                  <c:v>89.999999999999886</c:v>
                </c:pt>
                <c:pt idx="102">
                  <c:v>90.999999999999886</c:v>
                </c:pt>
                <c:pt idx="103">
                  <c:v>91.999999999999872</c:v>
                </c:pt>
                <c:pt idx="104">
                  <c:v>92.999999999999872</c:v>
                </c:pt>
                <c:pt idx="105">
                  <c:v>93.999999999999872</c:v>
                </c:pt>
                <c:pt idx="106">
                  <c:v>94.999999999999858</c:v>
                </c:pt>
                <c:pt idx="107">
                  <c:v>95.999999999999858</c:v>
                </c:pt>
                <c:pt idx="108">
                  <c:v>96.999999999999858</c:v>
                </c:pt>
                <c:pt idx="109">
                  <c:v>97.999999999999858</c:v>
                </c:pt>
                <c:pt idx="110">
                  <c:v>98.999999999999872</c:v>
                </c:pt>
                <c:pt idx="111">
                  <c:v>99.999999999999886</c:v>
                </c:pt>
                <c:pt idx="112">
                  <c:v>100.99999999999989</c:v>
                </c:pt>
                <c:pt idx="113">
                  <c:v>101.99999999999989</c:v>
                </c:pt>
                <c:pt idx="114">
                  <c:v>102.9999999999999</c:v>
                </c:pt>
                <c:pt idx="115">
                  <c:v>103.99999999999991</c:v>
                </c:pt>
                <c:pt idx="116">
                  <c:v>104.99999999999991</c:v>
                </c:pt>
                <c:pt idx="117">
                  <c:v>105.99999999999991</c:v>
                </c:pt>
                <c:pt idx="118">
                  <c:v>106.99999999999993</c:v>
                </c:pt>
                <c:pt idx="119">
                  <c:v>107.99999999999994</c:v>
                </c:pt>
                <c:pt idx="120">
                  <c:v>108.99999999999994</c:v>
                </c:pt>
                <c:pt idx="121">
                  <c:v>109.99999999999994</c:v>
                </c:pt>
                <c:pt idx="122">
                  <c:v>110.99999999999996</c:v>
                </c:pt>
                <c:pt idx="123">
                  <c:v>111.99999999999997</c:v>
                </c:pt>
                <c:pt idx="124">
                  <c:v>112.99999999999997</c:v>
                </c:pt>
                <c:pt idx="125">
                  <c:v>113.99999999999997</c:v>
                </c:pt>
                <c:pt idx="126">
                  <c:v>114.99999999999999</c:v>
                </c:pt>
                <c:pt idx="127">
                  <c:v>116</c:v>
                </c:pt>
                <c:pt idx="128">
                  <c:v>117</c:v>
                </c:pt>
                <c:pt idx="129">
                  <c:v>118</c:v>
                </c:pt>
                <c:pt idx="130">
                  <c:v>119.00000000000001</c:v>
                </c:pt>
                <c:pt idx="131">
                  <c:v>120.00000000000003</c:v>
                </c:pt>
                <c:pt idx="132">
                  <c:v>121.00000000000003</c:v>
                </c:pt>
                <c:pt idx="133">
                  <c:v>122.00000000000003</c:v>
                </c:pt>
                <c:pt idx="134">
                  <c:v>123.00000000000004</c:v>
                </c:pt>
                <c:pt idx="135">
                  <c:v>124.00000000000006</c:v>
                </c:pt>
                <c:pt idx="136">
                  <c:v>125.00000000000006</c:v>
                </c:pt>
                <c:pt idx="137">
                  <c:v>126.00000000000006</c:v>
                </c:pt>
                <c:pt idx="138">
                  <c:v>127.00000000000007</c:v>
                </c:pt>
                <c:pt idx="139">
                  <c:v>128.00000000000009</c:v>
                </c:pt>
                <c:pt idx="140">
                  <c:v>129.00000000000009</c:v>
                </c:pt>
                <c:pt idx="141">
                  <c:v>130.00000000000009</c:v>
                </c:pt>
                <c:pt idx="142">
                  <c:v>131.00000000000011</c:v>
                </c:pt>
                <c:pt idx="143">
                  <c:v>132.00000000000011</c:v>
                </c:pt>
                <c:pt idx="144">
                  <c:v>133.00000000000011</c:v>
                </c:pt>
                <c:pt idx="145">
                  <c:v>134.00000000000011</c:v>
                </c:pt>
                <c:pt idx="146">
                  <c:v>135.00000000000011</c:v>
                </c:pt>
                <c:pt idx="147">
                  <c:v>136.00000000000014</c:v>
                </c:pt>
                <c:pt idx="148">
                  <c:v>137.00000000000014</c:v>
                </c:pt>
                <c:pt idx="149">
                  <c:v>138.00000000000014</c:v>
                </c:pt>
                <c:pt idx="150">
                  <c:v>139.00000000000017</c:v>
                </c:pt>
                <c:pt idx="151">
                  <c:v>140.00000000000017</c:v>
                </c:pt>
                <c:pt idx="152">
                  <c:v>141.00000000000017</c:v>
                </c:pt>
                <c:pt idx="153">
                  <c:v>142.00000000000017</c:v>
                </c:pt>
                <c:pt idx="154">
                  <c:v>143.00000000000017</c:v>
                </c:pt>
                <c:pt idx="155">
                  <c:v>144.0000000000002</c:v>
                </c:pt>
                <c:pt idx="156">
                  <c:v>145.0000000000002</c:v>
                </c:pt>
                <c:pt idx="157">
                  <c:v>146.0000000000002</c:v>
                </c:pt>
                <c:pt idx="158">
                  <c:v>147.00000000000023</c:v>
                </c:pt>
                <c:pt idx="159">
                  <c:v>148.00000000000023</c:v>
                </c:pt>
                <c:pt idx="160">
                  <c:v>149.00000000000023</c:v>
                </c:pt>
                <c:pt idx="161">
                  <c:v>150.00000000000023</c:v>
                </c:pt>
                <c:pt idx="162">
                  <c:v>151.00000000000023</c:v>
                </c:pt>
                <c:pt idx="163">
                  <c:v>152.00000000000026</c:v>
                </c:pt>
                <c:pt idx="164">
                  <c:v>153.00000000000026</c:v>
                </c:pt>
                <c:pt idx="165">
                  <c:v>154.00000000000026</c:v>
                </c:pt>
                <c:pt idx="166">
                  <c:v>155.00000000000028</c:v>
                </c:pt>
                <c:pt idx="167">
                  <c:v>156.00000000000028</c:v>
                </c:pt>
                <c:pt idx="168">
                  <c:v>157.00000000000028</c:v>
                </c:pt>
                <c:pt idx="169">
                  <c:v>158.00000000000028</c:v>
                </c:pt>
                <c:pt idx="170">
                  <c:v>159.00000000000028</c:v>
                </c:pt>
                <c:pt idx="171">
                  <c:v>160.00000000000031</c:v>
                </c:pt>
                <c:pt idx="172">
                  <c:v>161.00000000000031</c:v>
                </c:pt>
                <c:pt idx="173">
                  <c:v>162.00000000000031</c:v>
                </c:pt>
                <c:pt idx="174">
                  <c:v>163.00000000000034</c:v>
                </c:pt>
                <c:pt idx="175">
                  <c:v>164.00000000000034</c:v>
                </c:pt>
                <c:pt idx="176">
                  <c:v>165.00000000000034</c:v>
                </c:pt>
                <c:pt idx="177">
                  <c:v>166.00000000000034</c:v>
                </c:pt>
                <c:pt idx="178">
                  <c:v>167.00000000000034</c:v>
                </c:pt>
                <c:pt idx="179">
                  <c:v>168.00000000000037</c:v>
                </c:pt>
                <c:pt idx="180">
                  <c:v>169.00000000000037</c:v>
                </c:pt>
                <c:pt idx="181">
                  <c:v>170.00000000000037</c:v>
                </c:pt>
                <c:pt idx="182">
                  <c:v>171.0000000000004</c:v>
                </c:pt>
                <c:pt idx="183">
                  <c:v>172.0000000000004</c:v>
                </c:pt>
                <c:pt idx="184">
                  <c:v>173.0000000000004</c:v>
                </c:pt>
                <c:pt idx="185">
                  <c:v>174.0000000000004</c:v>
                </c:pt>
                <c:pt idx="186">
                  <c:v>175.0000000000004</c:v>
                </c:pt>
                <c:pt idx="187">
                  <c:v>176.00000000000043</c:v>
                </c:pt>
                <c:pt idx="188">
                  <c:v>177.00000000000043</c:v>
                </c:pt>
                <c:pt idx="189">
                  <c:v>178.00000000000043</c:v>
                </c:pt>
                <c:pt idx="190">
                  <c:v>179.00000000000045</c:v>
                </c:pt>
                <c:pt idx="191">
                  <c:v>180.00000000000045</c:v>
                </c:pt>
                <c:pt idx="192">
                  <c:v>181.00000000000045</c:v>
                </c:pt>
                <c:pt idx="193">
                  <c:v>182.00000000000045</c:v>
                </c:pt>
                <c:pt idx="194">
                  <c:v>183.00000000000045</c:v>
                </c:pt>
                <c:pt idx="195">
                  <c:v>184.00000000000048</c:v>
                </c:pt>
                <c:pt idx="196">
                  <c:v>185.00000000000048</c:v>
                </c:pt>
                <c:pt idx="197">
                  <c:v>186.00000000000048</c:v>
                </c:pt>
                <c:pt idx="198">
                  <c:v>187.00000000000051</c:v>
                </c:pt>
                <c:pt idx="199">
                  <c:v>188.00000000000051</c:v>
                </c:pt>
                <c:pt idx="200">
                  <c:v>189.00000000000051</c:v>
                </c:pt>
                <c:pt idx="201">
                  <c:v>190.00000000000051</c:v>
                </c:pt>
                <c:pt idx="202">
                  <c:v>191.00000000000051</c:v>
                </c:pt>
                <c:pt idx="203">
                  <c:v>192.00000000000051</c:v>
                </c:pt>
                <c:pt idx="204">
                  <c:v>193.00000000000051</c:v>
                </c:pt>
                <c:pt idx="205">
                  <c:v>194.00000000000048</c:v>
                </c:pt>
                <c:pt idx="206">
                  <c:v>195.00000000000045</c:v>
                </c:pt>
                <c:pt idx="207">
                  <c:v>196.00000000000045</c:v>
                </c:pt>
                <c:pt idx="208">
                  <c:v>197.00000000000045</c:v>
                </c:pt>
                <c:pt idx="209">
                  <c:v>198.00000000000043</c:v>
                </c:pt>
                <c:pt idx="210">
                  <c:v>199.0000000000004</c:v>
                </c:pt>
                <c:pt idx="211">
                  <c:v>200.0000000000004</c:v>
                </c:pt>
                <c:pt idx="212">
                  <c:v>201.0000000000004</c:v>
                </c:pt>
                <c:pt idx="213">
                  <c:v>202.00000000000037</c:v>
                </c:pt>
                <c:pt idx="214">
                  <c:v>203.00000000000034</c:v>
                </c:pt>
                <c:pt idx="215">
                  <c:v>204.00000000000034</c:v>
                </c:pt>
                <c:pt idx="216">
                  <c:v>205.00000000000034</c:v>
                </c:pt>
                <c:pt idx="217">
                  <c:v>206.00000000000031</c:v>
                </c:pt>
                <c:pt idx="218">
                  <c:v>207.00000000000028</c:v>
                </c:pt>
                <c:pt idx="219">
                  <c:v>208.00000000000028</c:v>
                </c:pt>
                <c:pt idx="220">
                  <c:v>209.00000000000028</c:v>
                </c:pt>
                <c:pt idx="221">
                  <c:v>210.00000000000026</c:v>
                </c:pt>
                <c:pt idx="222">
                  <c:v>211.00000000000023</c:v>
                </c:pt>
                <c:pt idx="223">
                  <c:v>212.00000000000023</c:v>
                </c:pt>
                <c:pt idx="224">
                  <c:v>213.00000000000023</c:v>
                </c:pt>
                <c:pt idx="225">
                  <c:v>214.0000000000002</c:v>
                </c:pt>
                <c:pt idx="226">
                  <c:v>215.00000000000017</c:v>
                </c:pt>
                <c:pt idx="227">
                  <c:v>216.00000000000017</c:v>
                </c:pt>
                <c:pt idx="228">
                  <c:v>217.00000000000017</c:v>
                </c:pt>
                <c:pt idx="229">
                  <c:v>218.00000000000014</c:v>
                </c:pt>
                <c:pt idx="230">
                  <c:v>219.00000000000011</c:v>
                </c:pt>
                <c:pt idx="231">
                  <c:v>220.00000000000011</c:v>
                </c:pt>
                <c:pt idx="232">
                  <c:v>221.00000000000011</c:v>
                </c:pt>
                <c:pt idx="233">
                  <c:v>222.00000000000009</c:v>
                </c:pt>
                <c:pt idx="234">
                  <c:v>223.00000000000006</c:v>
                </c:pt>
                <c:pt idx="235">
                  <c:v>224.00000000000006</c:v>
                </c:pt>
                <c:pt idx="236">
                  <c:v>225.00000000000006</c:v>
                </c:pt>
                <c:pt idx="237">
                  <c:v>226.00000000000003</c:v>
                </c:pt>
                <c:pt idx="238">
                  <c:v>227</c:v>
                </c:pt>
                <c:pt idx="239">
                  <c:v>228</c:v>
                </c:pt>
                <c:pt idx="240">
                  <c:v>229</c:v>
                </c:pt>
                <c:pt idx="241">
                  <c:v>229.99999999999997</c:v>
                </c:pt>
                <c:pt idx="242">
                  <c:v>230.99999999999994</c:v>
                </c:pt>
                <c:pt idx="243">
                  <c:v>231.99999999999994</c:v>
                </c:pt>
                <c:pt idx="244">
                  <c:v>232.99999999999994</c:v>
                </c:pt>
                <c:pt idx="245">
                  <c:v>233.99999999999991</c:v>
                </c:pt>
                <c:pt idx="246">
                  <c:v>234.99999999999989</c:v>
                </c:pt>
                <c:pt idx="247">
                  <c:v>235.99999999999989</c:v>
                </c:pt>
                <c:pt idx="248">
                  <c:v>236.99999999999989</c:v>
                </c:pt>
                <c:pt idx="249">
                  <c:v>237.99999999999986</c:v>
                </c:pt>
                <c:pt idx="250">
                  <c:v>238.99999999999983</c:v>
                </c:pt>
                <c:pt idx="251">
                  <c:v>239.99999999999983</c:v>
                </c:pt>
              </c:numCache>
            </c:numRef>
          </c:cat>
          <c:val>
            <c:numRef>
              <c:f>'Gas Production'!$C$18:$C$284</c:f>
              <c:numCache>
                <c:formatCode>0.00</c:formatCode>
                <c:ptCount val="267"/>
                <c:pt idx="0">
                  <c:v>823.76453242824095</c:v>
                </c:pt>
                <c:pt idx="1">
                  <c:v>778.53162962849501</c:v>
                </c:pt>
                <c:pt idx="2">
                  <c:v>754.16829204613407</c:v>
                </c:pt>
                <c:pt idx="3">
                  <c:v>772.6134566062085</c:v>
                </c:pt>
                <c:pt idx="4">
                  <c:v>774.95123861594277</c:v>
                </c:pt>
                <c:pt idx="5">
                  <c:v>785.34271190084746</c:v>
                </c:pt>
                <c:pt idx="6">
                  <c:v>793.35309385222683</c:v>
                </c:pt>
                <c:pt idx="7">
                  <c:v>824.61413235452267</c:v>
                </c:pt>
                <c:pt idx="8">
                  <c:v>826.95191436425762</c:v>
                </c:pt>
                <c:pt idx="9">
                  <c:v>834.80334188257018</c:v>
                </c:pt>
                <c:pt idx="10">
                  <c:v>858.01068910970207</c:v>
                </c:pt>
                <c:pt idx="11">
                  <c:v>905.69701902845225</c:v>
                </c:pt>
                <c:pt idx="12">
                  <c:v>939.33914886428636</c:v>
                </c:pt>
                <c:pt idx="13">
                  <c:v>967.4676331915299</c:v>
                </c:pt>
                <c:pt idx="14">
                  <c:v>995.43716308571277</c:v>
                </c:pt>
                <c:pt idx="15">
                  <c:v>1015.3530017047262</c:v>
                </c:pt>
                <c:pt idx="16">
                  <c:v>979.05195583063301</c:v>
                </c:pt>
                <c:pt idx="17">
                  <c:v>1001.5078402162386</c:v>
                </c:pt>
                <c:pt idx="18">
                  <c:v>978.77413112588874</c:v>
                </c:pt>
                <c:pt idx="19">
                  <c:v>1006.7436610200714</c:v>
                </c:pt>
                <c:pt idx="20">
                  <c:v>1010.7110715218171</c:v>
                </c:pt>
                <c:pt idx="21">
                  <c:v>1033.1669559074217</c:v>
                </c:pt>
                <c:pt idx="22">
                  <c:v>1021.7307371131864</c:v>
                </c:pt>
                <c:pt idx="23">
                  <c:v>960.83410678204245</c:v>
                </c:pt>
                <c:pt idx="24">
                  <c:v>908.02496020122555</c:v>
                </c:pt>
                <c:pt idx="25">
                  <c:v>861.72255249643035</c:v>
                </c:pt>
                <c:pt idx="26">
                  <c:v>820.74081367340602</c:v>
                </c:pt>
                <c:pt idx="27">
                  <c:v>784.17110587810248</c:v>
                </c:pt>
                <c:pt idx="28">
                  <c:v>751.30470554840667</c:v>
                </c:pt>
                <c:pt idx="29">
                  <c:v>721.5800773441257</c:v>
                </c:pt>
                <c:pt idx="30">
                  <c:v>694.54611538253812</c:v>
                </c:pt>
                <c:pt idx="31">
                  <c:v>669.83595498402099</c:v>
                </c:pt>
                <c:pt idx="32">
                  <c:v>647.14795373162383</c:v>
                </c:pt>
                <c:pt idx="33">
                  <c:v>626.23164070024404</c:v>
                </c:pt>
                <c:pt idx="34">
                  <c:v>606.8771753230352</c:v>
                </c:pt>
                <c:pt idx="35">
                  <c:v>588.90732878501603</c:v>
                </c:pt>
                <c:pt idx="36">
                  <c:v>572.17130703500004</c:v>
                </c:pt>
                <c:pt idx="37">
                  <c:v>556.53993754774808</c:v>
                </c:pt>
                <c:pt idx="38">
                  <c:v>541.9018791534902</c:v>
                </c:pt>
                <c:pt idx="39">
                  <c:v>528.16060854050716</c:v>
                </c:pt>
                <c:pt idx="40">
                  <c:v>515.23200286437248</c:v>
                </c:pt>
                <c:pt idx="41">
                  <c:v>503.04238452152231</c:v>
                </c:pt>
                <c:pt idx="42">
                  <c:v>491.52692760849595</c:v>
                </c:pt>
                <c:pt idx="43">
                  <c:v>480.62834990288451</c:v>
                </c:pt>
                <c:pt idx="44">
                  <c:v>470.2958320715868</c:v>
                </c:pt>
                <c:pt idx="45">
                  <c:v>460.4841190847639</c:v>
                </c:pt>
                <c:pt idx="46">
                  <c:v>451.15276877042533</c:v>
                </c:pt>
                <c:pt idx="47">
                  <c:v>442.26551998284663</c:v>
                </c:pt>
                <c:pt idx="48">
                  <c:v>433.78975861508127</c:v>
                </c:pt>
                <c:pt idx="49">
                  <c:v>425.69606411851032</c:v>
                </c:pt>
                <c:pt idx="50">
                  <c:v>417.95782263159776</c:v>
                </c:pt>
                <c:pt idx="51">
                  <c:v>410.55089550779479</c:v>
                </c:pt>
                <c:pt idx="52">
                  <c:v>403.45333414741845</c:v>
                </c:pt>
                <c:pt idx="53">
                  <c:v>396.64513371321368</c:v>
                </c:pt>
                <c:pt idx="54">
                  <c:v>390.1080196438661</c:v>
                </c:pt>
                <c:pt idx="55">
                  <c:v>383.8252619492992</c:v>
                </c:pt>
                <c:pt idx="56">
                  <c:v>377.78151313351913</c:v>
                </c:pt>
                <c:pt idx="57">
                  <c:v>371.96266628902703</c:v>
                </c:pt>
                <c:pt idx="58">
                  <c:v>366.35573047530625</c:v>
                </c:pt>
                <c:pt idx="59">
                  <c:v>360.94872095893885</c:v>
                </c:pt>
                <c:pt idx="60">
                  <c:v>355.73056227506743</c:v>
                </c:pt>
                <c:pt idx="61">
                  <c:v>350.69100238533537</c:v>
                </c:pt>
                <c:pt idx="62">
                  <c:v>345.82053646884077</c:v>
                </c:pt>
                <c:pt idx="63">
                  <c:v>341.11033910016198</c:v>
                </c:pt>
                <c:pt idx="64">
                  <c:v>336.55220375018519</c:v>
                </c:pt>
                <c:pt idx="65">
                  <c:v>332.13848869777303</c:v>
                </c:pt>
                <c:pt idx="66">
                  <c:v>327.86206856844638</c:v>
                </c:pt>
                <c:pt idx="67">
                  <c:v>323.71629082440023</c:v>
                </c:pt>
                <c:pt idx="68">
                  <c:v>319.69493662177456</c:v>
                </c:pt>
                <c:pt idx="69">
                  <c:v>315.7921855289016</c:v>
                </c:pt>
                <c:pt idx="70">
                  <c:v>312.00258366555192</c:v>
                </c:pt>
                <c:pt idx="71">
                  <c:v>308.32101487985125</c:v>
                </c:pt>
                <c:pt idx="72">
                  <c:v>304.74267462808564</c:v>
                </c:pt>
                <c:pt idx="73">
                  <c:v>301.26304626433074</c:v>
                </c:pt>
                <c:pt idx="74">
                  <c:v>297.87787948276542</c:v>
                </c:pt>
                <c:pt idx="75">
                  <c:v>294.58317068657556</c:v>
                </c:pt>
                <c:pt idx="76">
                  <c:v>291.3751450842135</c:v>
                </c:pt>
                <c:pt idx="77">
                  <c:v>288.25024033709803</c:v>
                </c:pt>
                <c:pt idx="78">
                  <c:v>285.20509160311786</c:v>
                </c:pt>
                <c:pt idx="79">
                  <c:v>282.23651783798016</c:v>
                </c:pt>
                <c:pt idx="80">
                  <c:v>279.34150923188241</c:v>
                </c:pt>
                <c:pt idx="81">
                  <c:v>276.51721567251184</c:v>
                </c:pt>
                <c:pt idx="82">
                  <c:v>273.76093613722043</c:v>
                </c:pt>
                <c:pt idx="83">
                  <c:v>271.0701089276551</c:v>
                </c:pt>
                <c:pt idx="84">
                  <c:v>268.44230266928741</c:v>
                </c:pt>
                <c:pt idx="85">
                  <c:v>265.87520800638481</c:v>
                </c:pt>
                <c:pt idx="86">
                  <c:v>263.36662993011549</c:v>
                </c:pt>
                <c:pt idx="87">
                  <c:v>260.91448068380782</c:v>
                </c:pt>
                <c:pt idx="88">
                  <c:v>258.51677319499987</c:v>
                </c:pt>
                <c:pt idx="89">
                  <c:v>256.17161498890295</c:v>
                </c:pt>
                <c:pt idx="90">
                  <c:v>253.87720254232948</c:v>
                </c:pt>
                <c:pt idx="91">
                  <c:v>251.63181604109829</c:v>
                </c:pt>
                <c:pt idx="92">
                  <c:v>249.4338145074467</c:v>
                </c:pt>
                <c:pt idx="93">
                  <c:v>247.28163126713588</c:v>
                </c:pt>
                <c:pt idx="94">
                  <c:v>245.17376972875275</c:v>
                </c:pt>
                <c:pt idx="95">
                  <c:v>243.10879945023825</c:v>
                </c:pt>
                <c:pt idx="96">
                  <c:v>241.08535246994407</c:v>
                </c:pt>
                <c:pt idx="97">
                  <c:v>239.10211988155004</c:v>
                </c:pt>
                <c:pt idx="98">
                  <c:v>237.15784863401572</c:v>
                </c:pt>
                <c:pt idx="99">
                  <c:v>235.25133853938632</c:v>
                </c:pt>
                <c:pt idx="100">
                  <c:v>233.3814394727635</c:v>
                </c:pt>
                <c:pt idx="101">
                  <c:v>231.54704875010199</c:v>
                </c:pt>
                <c:pt idx="102">
                  <c:v>229.74710867070149</c:v>
                </c:pt>
                <c:pt idx="103">
                  <c:v>227.98060421237065</c:v>
                </c:pt>
                <c:pt idx="104">
                  <c:v>226.2465608682383</c:v>
                </c:pt>
                <c:pt idx="105">
                  <c:v>224.54404261508714</c:v>
                </c:pt>
                <c:pt idx="106">
                  <c:v>222.87215000391251</c:v>
                </c:pt>
                <c:pt idx="107">
                  <c:v>221.23001836415435</c:v>
                </c:pt>
                <c:pt idx="108">
                  <c:v>219.61681611373223</c:v>
                </c:pt>
                <c:pt idx="109">
                  <c:v>218.03174316763062</c:v>
                </c:pt>
                <c:pt idx="110">
                  <c:v>216.47402943834939</c:v>
                </c:pt>
                <c:pt idx="111">
                  <c:v>214.94293342205032</c:v>
                </c:pt>
                <c:pt idx="112">
                  <c:v>213.43774086469944</c:v>
                </c:pt>
                <c:pt idx="113">
                  <c:v>211.95776350293963</c:v>
                </c:pt>
                <c:pt idx="114">
                  <c:v>210.50233787482057</c:v>
                </c:pt>
                <c:pt idx="115">
                  <c:v>209.07082419587343</c:v>
                </c:pt>
                <c:pt idx="116">
                  <c:v>207.66260529635315</c:v>
                </c:pt>
                <c:pt idx="117">
                  <c:v>206.27708561577086</c:v>
                </c:pt>
                <c:pt idx="118">
                  <c:v>204.91369025112272</c:v>
                </c:pt>
                <c:pt idx="119">
                  <c:v>203.57186405547512</c:v>
                </c:pt>
                <c:pt idx="120">
                  <c:v>202.2510707838035</c:v>
                </c:pt>
                <c:pt idx="121">
                  <c:v>200.95079228320145</c:v>
                </c:pt>
                <c:pt idx="122">
                  <c:v>199.67052772477433</c:v>
                </c:pt>
                <c:pt idx="123">
                  <c:v>198.40979287471927</c:v>
                </c:pt>
                <c:pt idx="124">
                  <c:v>197.16811940226239</c:v>
                </c:pt>
                <c:pt idx="125">
                  <c:v>195.94505422228104</c:v>
                </c:pt>
                <c:pt idx="126">
                  <c:v>194.74015887058908</c:v>
                </c:pt>
                <c:pt idx="127">
                  <c:v>193.55300890999069</c:v>
                </c:pt>
                <c:pt idx="128">
                  <c:v>192.38319336533851</c:v>
                </c:pt>
                <c:pt idx="129">
                  <c:v>191.23031418594687</c:v>
                </c:pt>
                <c:pt idx="130">
                  <c:v>190.09398573381407</c:v>
                </c:pt>
                <c:pt idx="131">
                  <c:v>188.97383429621172</c:v>
                </c:pt>
                <c:pt idx="132">
                  <c:v>187.86949762128711</c:v>
                </c:pt>
                <c:pt idx="133">
                  <c:v>186.78062447541461</c:v>
                </c:pt>
                <c:pt idx="134">
                  <c:v>185.70687422110572</c:v>
                </c:pt>
                <c:pt idx="135">
                  <c:v>184.6479164143671</c:v>
                </c:pt>
                <c:pt idx="136">
                  <c:v>183.60343042046051</c:v>
                </c:pt>
                <c:pt idx="137">
                  <c:v>182.57310504708522</c:v>
                </c:pt>
                <c:pt idx="138">
                  <c:v>181.55663819406055</c:v>
                </c:pt>
                <c:pt idx="139">
                  <c:v>180.55373651864394</c:v>
                </c:pt>
                <c:pt idx="140">
                  <c:v>179.56411511567032</c:v>
                </c:pt>
                <c:pt idx="141">
                  <c:v>178.58749721174817</c:v>
                </c:pt>
                <c:pt idx="142">
                  <c:v>177.62361387279017</c:v>
                </c:pt>
                <c:pt idx="143">
                  <c:v>176.67220372420249</c:v>
                </c:pt>
                <c:pt idx="144">
                  <c:v>175.73301268309115</c:v>
                </c:pt>
                <c:pt idx="145">
                  <c:v>174.80579370188622</c:v>
                </c:pt>
                <c:pt idx="146">
                  <c:v>173.89030652281272</c:v>
                </c:pt>
                <c:pt idx="147">
                  <c:v>172.98631744267672</c:v>
                </c:pt>
                <c:pt idx="148">
                  <c:v>172.09359908745697</c:v>
                </c:pt>
                <c:pt idx="149">
                  <c:v>171.21193019622837</c:v>
                </c:pt>
                <c:pt idx="150">
                  <c:v>170.34109541396532</c:v>
                </c:pt>
                <c:pt idx="151">
                  <c:v>169.4808850927983</c:v>
                </c:pt>
                <c:pt idx="152">
                  <c:v>168.63109510132253</c:v>
                </c:pt>
                <c:pt idx="153">
                  <c:v>167.79152664157766</c:v>
                </c:pt>
                <c:pt idx="154">
                  <c:v>166.96198607333812</c:v>
                </c:pt>
                <c:pt idx="155">
                  <c:v>166.14228474537325</c:v>
                </c:pt>
                <c:pt idx="156">
                  <c:v>165.33223883335452</c:v>
                </c:pt>
                <c:pt idx="157">
                  <c:v>164.53166918410548</c:v>
                </c:pt>
                <c:pt idx="158">
                  <c:v>163.74040116590234</c:v>
                </c:pt>
                <c:pt idx="159">
                  <c:v>162.95826452455262</c:v>
                </c:pt>
                <c:pt idx="160">
                  <c:v>162.18509324499169</c:v>
                </c:pt>
                <c:pt idx="161">
                  <c:v>161.42072541814841</c:v>
                </c:pt>
                <c:pt idx="162">
                  <c:v>160.66500311284773</c:v>
                </c:pt>
                <c:pt idx="163">
                  <c:v>159.9177722525267</c:v>
                </c:pt>
                <c:pt idx="164">
                  <c:v>159.17888249655243</c:v>
                </c:pt>
                <c:pt idx="165">
                  <c:v>158.44818712594264</c:v>
                </c:pt>
                <c:pt idx="166">
                  <c:v>157.72554293329631</c:v>
                </c:pt>
                <c:pt idx="167">
                  <c:v>157.01081011675598</c:v>
                </c:pt>
                <c:pt idx="168">
                  <c:v>156.30385217782572</c:v>
                </c:pt>
                <c:pt idx="169">
                  <c:v>155.60453582288434</c:v>
                </c:pt>
                <c:pt idx="170">
                  <c:v>154.91273086823594</c:v>
                </c:pt>
                <c:pt idx="171">
                  <c:v>154.22831014854944</c:v>
                </c:pt>
                <c:pt idx="172">
                  <c:v>153.5511494285476</c:v>
                </c:pt>
                <c:pt idx="173">
                  <c:v>152.88112731780745</c:v>
                </c:pt>
                <c:pt idx="174">
                  <c:v>152.21812518854802</c:v>
                </c:pt>
                <c:pt idx="175">
                  <c:v>151.56202709628002</c:v>
                </c:pt>
                <c:pt idx="176">
                  <c:v>150.91271970320261</c:v>
                </c:pt>
                <c:pt idx="177">
                  <c:v>150.27009220423571</c:v>
                </c:pt>
                <c:pt idx="178">
                  <c:v>149.63403625558163</c:v>
                </c:pt>
                <c:pt idx="179">
                  <c:v>149.00444590571576</c:v>
                </c:pt>
                <c:pt idx="180">
                  <c:v>148.3812175287095</c:v>
                </c:pt>
                <c:pt idx="181">
                  <c:v>147.76424975979208</c:v>
                </c:pt>
                <c:pt idx="182">
                  <c:v>147.15344343306637</c:v>
                </c:pt>
                <c:pt idx="183">
                  <c:v>146.54870152129109</c:v>
                </c:pt>
                <c:pt idx="184">
                  <c:v>145.94992907765214</c:v>
                </c:pt>
                <c:pt idx="185">
                  <c:v>145.3570331794443</c:v>
                </c:pt>
                <c:pt idx="186">
                  <c:v>144.76992287359118</c:v>
                </c:pt>
                <c:pt idx="187">
                  <c:v>144.18850912393353</c:v>
                </c:pt>
                <c:pt idx="188">
                  <c:v>143.61270476021744</c:v>
                </c:pt>
                <c:pt idx="189">
                  <c:v>143.04242442871964</c:v>
                </c:pt>
                <c:pt idx="190">
                  <c:v>142.47758454444815</c:v>
                </c:pt>
                <c:pt idx="191">
                  <c:v>141.91810324485934</c:v>
                </c:pt>
                <c:pt idx="192">
                  <c:v>141.36390034503543</c:v>
                </c:pt>
                <c:pt idx="193">
                  <c:v>140.81489729426818</c:v>
                </c:pt>
                <c:pt idx="194">
                  <c:v>140.27101713399799</c:v>
                </c:pt>
                <c:pt idx="195">
                  <c:v>139.73218445705777</c:v>
                </c:pt>
                <c:pt idx="196">
                  <c:v>139.1983253681758</c:v>
                </c:pt>
                <c:pt idx="197">
                  <c:v>138.66936744569003</c:v>
                </c:pt>
                <c:pt idx="198">
                  <c:v>138.14523970443273</c:v>
                </c:pt>
                <c:pt idx="199">
                  <c:v>137.62587255974245</c:v>
                </c:pt>
                <c:pt idx="200">
                  <c:v>137.11119779256245</c:v>
                </c:pt>
                <c:pt idx="201">
                  <c:v>136.60114851558899</c:v>
                </c:pt>
                <c:pt idx="202">
                  <c:v>136.09565914043162</c:v>
                </c:pt>
                <c:pt idx="203">
                  <c:v>135.59466534575006</c:v>
                </c:pt>
                <c:pt idx="204">
                  <c:v>135.09810404633384</c:v>
                </c:pt>
                <c:pt idx="205">
                  <c:v>134.60591336309216</c:v>
                </c:pt>
                <c:pt idx="206">
                  <c:v>134.11803259392295</c:v>
                </c:pt>
                <c:pt idx="207">
                  <c:v>133.63440218542976</c:v>
                </c:pt>
                <c:pt idx="208">
                  <c:v>133.15496370545964</c:v>
                </c:pt>
                <c:pt idx="209">
                  <c:v>132.67965981643229</c:v>
                </c:pt>
                <c:pt idx="210">
                  <c:v>132.2084342494347</c:v>
                </c:pt>
                <c:pt idx="211">
                  <c:v>131.74123177905554</c:v>
                </c:pt>
                <c:pt idx="212">
                  <c:v>131.27799819893494</c:v>
                </c:pt>
                <c:pt idx="213">
                  <c:v>130.81868029800395</c:v>
                </c:pt>
                <c:pt idx="214">
                  <c:v>130.36322583739494</c:v>
                </c:pt>
                <c:pt idx="215">
                  <c:v>129.9115835279953</c:v>
                </c:pt>
                <c:pt idx="216">
                  <c:v>129.46370300862898</c:v>
                </c:pt>
                <c:pt idx="217">
                  <c:v>129.01953482484149</c:v>
                </c:pt>
                <c:pt idx="218">
                  <c:v>128.57903040827026</c:v>
                </c:pt>
                <c:pt idx="219">
                  <c:v>128.14214205658166</c:v>
                </c:pt>
                <c:pt idx="220">
                  <c:v>127.70882291395617</c:v>
                </c:pt>
                <c:pt idx="221">
                  <c:v>127.27902695210385</c:v>
                </c:pt>
                <c:pt idx="222">
                  <c:v>126.85270895179383</c:v>
                </c:pt>
                <c:pt idx="223">
                  <c:v>126.42982448488142</c:v>
                </c:pt>
                <c:pt idx="224">
                  <c:v>126.0103298968168</c:v>
                </c:pt>
                <c:pt idx="225">
                  <c:v>125.59418228962068</c:v>
                </c:pt>
                <c:pt idx="226">
                  <c:v>125.18133950531164</c:v>
                </c:pt>
                <c:pt idx="227">
                  <c:v>124.771760109772</c:v>
                </c:pt>
                <c:pt idx="228">
                  <c:v>124.3654033770388</c:v>
                </c:pt>
                <c:pt idx="229">
                  <c:v>123.96222927400437</c:v>
                </c:pt>
                <c:pt idx="230">
                  <c:v>123.56219844551826</c:v>
                </c:pt>
                <c:pt idx="231">
                  <c:v>123.16527219987356</c:v>
                </c:pt>
                <c:pt idx="232">
                  <c:v>122.77141249467026</c:v>
                </c:pt>
                <c:pt idx="233">
                  <c:v>122.38058192304048</c:v>
                </c:pt>
                <c:pt idx="234">
                  <c:v>121.99274370022775</c:v>
                </c:pt>
                <c:pt idx="235">
                  <c:v>121.60786165050706</c:v>
                </c:pt>
                <c:pt idx="236">
                  <c:v>121.22590019443861</c:v>
                </c:pt>
                <c:pt idx="237">
                  <c:v>120.84682433644164</c:v>
                </c:pt>
                <c:pt idx="238">
                  <c:v>120.47059965268248</c:v>
                </c:pt>
                <c:pt idx="239">
                  <c:v>120.09719227926477</c:v>
                </c:pt>
                <c:pt idx="240">
                  <c:v>119.72656890071485</c:v>
                </c:pt>
                <c:pt idx="241">
                  <c:v>119.35869673875278</c:v>
                </c:pt>
                <c:pt idx="242">
                  <c:v>118.99354354134076</c:v>
                </c:pt>
                <c:pt idx="243">
                  <c:v>118.63107757200123</c:v>
                </c:pt>
                <c:pt idx="244">
                  <c:v>118.27126759939691</c:v>
                </c:pt>
                <c:pt idx="245">
                  <c:v>117.91408288716482</c:v>
                </c:pt>
                <c:pt idx="246">
                  <c:v>117.55949318399739</c:v>
                </c:pt>
                <c:pt idx="247">
                  <c:v>117.20746871396356</c:v>
                </c:pt>
                <c:pt idx="248">
                  <c:v>116.85798016706319</c:v>
                </c:pt>
                <c:pt idx="249">
                  <c:v>116.5109986900079</c:v>
                </c:pt>
                <c:pt idx="250">
                  <c:v>116.16649587722206</c:v>
                </c:pt>
                <c:pt idx="251">
                  <c:v>115.82444376205842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18-417B-8F4E-72EFF2ED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48960"/>
        <c:axId val="129471232"/>
      </c:lineChart>
      <c:catAx>
        <c:axId val="1294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1232"/>
        <c:crosses val="autoZero"/>
        <c:auto val="1"/>
        <c:lblAlgn val="ctr"/>
        <c:lblOffset val="100"/>
        <c:noMultiLvlLbl val="0"/>
      </c:catAx>
      <c:valAx>
        <c:axId val="1294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Production</a:t>
                </a:r>
                <a:r>
                  <a:rPr lang="en-US" baseline="0"/>
                  <a:t> (</a:t>
                </a:r>
                <a:r>
                  <a:rPr lang="en-US"/>
                  <a:t>Mcf/d)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'Liquids Production'!$B$18:$B$277</c:f>
              <c:numCache>
                <c:formatCode>0.00</c:formatCode>
                <c:ptCount val="260"/>
                <c:pt idx="0">
                  <c:v>0.52173913043478304</c:v>
                </c:pt>
                <c:pt idx="1">
                  <c:v>0.92517694641051296</c:v>
                </c:pt>
                <c:pt idx="2">
                  <c:v>1.4742163801819901</c:v>
                </c:pt>
                <c:pt idx="3">
                  <c:v>2.0262891809908901</c:v>
                </c:pt>
                <c:pt idx="4">
                  <c:v>2.57836198179979</c:v>
                </c:pt>
                <c:pt idx="5">
                  <c:v>3.2699696663296201</c:v>
                </c:pt>
                <c:pt idx="6">
                  <c:v>4.09807886754297</c:v>
                </c:pt>
                <c:pt idx="7">
                  <c:v>4.5864509605662196</c:v>
                </c:pt>
                <c:pt idx="8">
                  <c:v>4.99898887765419</c:v>
                </c:pt>
                <c:pt idx="9">
                  <c:v>5.8270980788675404</c:v>
                </c:pt>
                <c:pt idx="10">
                  <c:v>6.6643073811931197</c:v>
                </c:pt>
                <c:pt idx="11">
                  <c:v>7.43174924165824</c:v>
                </c:pt>
                <c:pt idx="12">
                  <c:v>8.0626895854398395</c:v>
                </c:pt>
                <c:pt idx="13">
                  <c:v>9.0626895854398395</c:v>
                </c:pt>
                <c:pt idx="14">
                  <c:v>10.062689585439839</c:v>
                </c:pt>
                <c:pt idx="15">
                  <c:v>11.062689585439841</c:v>
                </c:pt>
                <c:pt idx="16">
                  <c:v>12.062689585439839</c:v>
                </c:pt>
                <c:pt idx="17">
                  <c:v>13.062689585439838</c:v>
                </c:pt>
                <c:pt idx="18">
                  <c:v>14.062689585439838</c:v>
                </c:pt>
                <c:pt idx="19">
                  <c:v>15.062689585439838</c:v>
                </c:pt>
                <c:pt idx="20">
                  <c:v>16.062689585439834</c:v>
                </c:pt>
                <c:pt idx="21">
                  <c:v>17.062689585439834</c:v>
                </c:pt>
                <c:pt idx="22">
                  <c:v>18.062689585439834</c:v>
                </c:pt>
                <c:pt idx="23">
                  <c:v>19.062689585439834</c:v>
                </c:pt>
                <c:pt idx="24">
                  <c:v>20.062689585439834</c:v>
                </c:pt>
                <c:pt idx="25">
                  <c:v>21.062689585439831</c:v>
                </c:pt>
                <c:pt idx="26">
                  <c:v>22.062689585439831</c:v>
                </c:pt>
                <c:pt idx="27">
                  <c:v>23.062689585439831</c:v>
                </c:pt>
                <c:pt idx="28">
                  <c:v>24.062689585439827</c:v>
                </c:pt>
                <c:pt idx="29">
                  <c:v>25.062689585439831</c:v>
                </c:pt>
                <c:pt idx="30">
                  <c:v>26.062689585439834</c:v>
                </c:pt>
                <c:pt idx="31">
                  <c:v>27.062689585439834</c:v>
                </c:pt>
                <c:pt idx="32">
                  <c:v>28.062689585439834</c:v>
                </c:pt>
                <c:pt idx="33">
                  <c:v>29.062689585439838</c:v>
                </c:pt>
                <c:pt idx="34">
                  <c:v>30.062689585439841</c:v>
                </c:pt>
                <c:pt idx="35">
                  <c:v>31.062689585439841</c:v>
                </c:pt>
                <c:pt idx="36">
                  <c:v>32.062689585439841</c:v>
                </c:pt>
                <c:pt idx="37">
                  <c:v>33.062689585439841</c:v>
                </c:pt>
                <c:pt idx="38">
                  <c:v>34.062689585439848</c:v>
                </c:pt>
                <c:pt idx="39">
                  <c:v>35.062689585439848</c:v>
                </c:pt>
                <c:pt idx="40">
                  <c:v>36.062689585439848</c:v>
                </c:pt>
                <c:pt idx="41">
                  <c:v>37.062689585439855</c:v>
                </c:pt>
                <c:pt idx="42">
                  <c:v>38.062689585439855</c:v>
                </c:pt>
                <c:pt idx="43">
                  <c:v>39.062689585439855</c:v>
                </c:pt>
                <c:pt idx="44">
                  <c:v>40.062689585439855</c:v>
                </c:pt>
                <c:pt idx="45">
                  <c:v>41.062689585439855</c:v>
                </c:pt>
                <c:pt idx="46">
                  <c:v>42.062689585439863</c:v>
                </c:pt>
                <c:pt idx="47">
                  <c:v>43.062689585439863</c:v>
                </c:pt>
                <c:pt idx="48">
                  <c:v>44.062689585439863</c:v>
                </c:pt>
                <c:pt idx="49">
                  <c:v>45.06268958543987</c:v>
                </c:pt>
                <c:pt idx="50">
                  <c:v>46.06268958543987</c:v>
                </c:pt>
                <c:pt idx="51">
                  <c:v>47.06268958543987</c:v>
                </c:pt>
                <c:pt idx="52">
                  <c:v>48.06268958543987</c:v>
                </c:pt>
                <c:pt idx="53">
                  <c:v>49.062689585439863</c:v>
                </c:pt>
                <c:pt idx="54">
                  <c:v>50.062689585439855</c:v>
                </c:pt>
                <c:pt idx="55">
                  <c:v>51.062689585439855</c:v>
                </c:pt>
                <c:pt idx="56">
                  <c:v>52.062689585439855</c:v>
                </c:pt>
                <c:pt idx="57">
                  <c:v>53.062689585439848</c:v>
                </c:pt>
                <c:pt idx="58">
                  <c:v>54.062689585439841</c:v>
                </c:pt>
                <c:pt idx="59">
                  <c:v>55.062689585439841</c:v>
                </c:pt>
                <c:pt idx="60">
                  <c:v>56.062689585439841</c:v>
                </c:pt>
                <c:pt idx="61">
                  <c:v>57.062689585439834</c:v>
                </c:pt>
                <c:pt idx="62">
                  <c:v>58.062689585439827</c:v>
                </c:pt>
                <c:pt idx="63">
                  <c:v>59.062689585439827</c:v>
                </c:pt>
                <c:pt idx="64">
                  <c:v>60.062689585439827</c:v>
                </c:pt>
                <c:pt idx="65">
                  <c:v>61.06268958543982</c:v>
                </c:pt>
                <c:pt idx="66">
                  <c:v>62.062689585439813</c:v>
                </c:pt>
                <c:pt idx="67">
                  <c:v>63.062689585439813</c:v>
                </c:pt>
                <c:pt idx="68">
                  <c:v>64.062689585439813</c:v>
                </c:pt>
                <c:pt idx="69">
                  <c:v>65.062689585439813</c:v>
                </c:pt>
                <c:pt idx="70">
                  <c:v>66.062689585439799</c:v>
                </c:pt>
                <c:pt idx="71">
                  <c:v>67.062689585439799</c:v>
                </c:pt>
                <c:pt idx="72">
                  <c:v>68.062689585439799</c:v>
                </c:pt>
                <c:pt idx="73">
                  <c:v>69.062689585439784</c:v>
                </c:pt>
                <c:pt idx="74">
                  <c:v>70.062689585439784</c:v>
                </c:pt>
                <c:pt idx="75">
                  <c:v>71.062689585439784</c:v>
                </c:pt>
                <c:pt idx="76">
                  <c:v>72.062689585439784</c:v>
                </c:pt>
                <c:pt idx="77">
                  <c:v>73.062689585439784</c:v>
                </c:pt>
                <c:pt idx="78">
                  <c:v>74.06268958543977</c:v>
                </c:pt>
                <c:pt idx="79">
                  <c:v>75.06268958543977</c:v>
                </c:pt>
                <c:pt idx="80">
                  <c:v>76.06268958543977</c:v>
                </c:pt>
                <c:pt idx="81">
                  <c:v>77.062689585439756</c:v>
                </c:pt>
                <c:pt idx="82">
                  <c:v>78.062689585439756</c:v>
                </c:pt>
                <c:pt idx="83">
                  <c:v>79.062689585439756</c:v>
                </c:pt>
                <c:pt idx="84">
                  <c:v>80.062689585439756</c:v>
                </c:pt>
                <c:pt idx="85">
                  <c:v>81.062689585439756</c:v>
                </c:pt>
                <c:pt idx="86">
                  <c:v>82.062689585439742</c:v>
                </c:pt>
                <c:pt idx="87">
                  <c:v>83.062689585439742</c:v>
                </c:pt>
                <c:pt idx="88">
                  <c:v>84.062689585439742</c:v>
                </c:pt>
                <c:pt idx="89">
                  <c:v>85.062689585439728</c:v>
                </c:pt>
                <c:pt idx="90">
                  <c:v>86.062689585439728</c:v>
                </c:pt>
                <c:pt idx="91">
                  <c:v>87.062689585439728</c:v>
                </c:pt>
                <c:pt idx="92">
                  <c:v>88.062689585439728</c:v>
                </c:pt>
                <c:pt idx="93">
                  <c:v>89.062689585439728</c:v>
                </c:pt>
                <c:pt idx="94">
                  <c:v>90.062689585439713</c:v>
                </c:pt>
                <c:pt idx="95">
                  <c:v>91.062689585439713</c:v>
                </c:pt>
                <c:pt idx="96">
                  <c:v>92.062689585439713</c:v>
                </c:pt>
                <c:pt idx="97">
                  <c:v>93.062689585439699</c:v>
                </c:pt>
                <c:pt idx="98">
                  <c:v>94.062689585439699</c:v>
                </c:pt>
                <c:pt idx="99">
                  <c:v>95.062689585439699</c:v>
                </c:pt>
                <c:pt idx="100">
                  <c:v>96.062689585439699</c:v>
                </c:pt>
                <c:pt idx="101">
                  <c:v>97.062689585439713</c:v>
                </c:pt>
                <c:pt idx="102">
                  <c:v>98.062689585439728</c:v>
                </c:pt>
                <c:pt idx="103">
                  <c:v>99.062689585439728</c:v>
                </c:pt>
                <c:pt idx="104">
                  <c:v>100.06268958543973</c:v>
                </c:pt>
                <c:pt idx="105">
                  <c:v>101.06268958543974</c:v>
                </c:pt>
                <c:pt idx="106">
                  <c:v>102.06268958543976</c:v>
                </c:pt>
                <c:pt idx="107">
                  <c:v>103.06268958543976</c:v>
                </c:pt>
                <c:pt idx="108">
                  <c:v>104.06268958543976</c:v>
                </c:pt>
                <c:pt idx="109">
                  <c:v>105.06268958543977</c:v>
                </c:pt>
                <c:pt idx="110">
                  <c:v>106.06268958543978</c:v>
                </c:pt>
                <c:pt idx="111">
                  <c:v>107.06268958543978</c:v>
                </c:pt>
                <c:pt idx="112">
                  <c:v>108.06268958543978</c:v>
                </c:pt>
                <c:pt idx="113">
                  <c:v>109.0626895854398</c:v>
                </c:pt>
                <c:pt idx="114">
                  <c:v>110.06268958543981</c:v>
                </c:pt>
                <c:pt idx="115">
                  <c:v>111.06268958543981</c:v>
                </c:pt>
                <c:pt idx="116">
                  <c:v>112.06268958543981</c:v>
                </c:pt>
                <c:pt idx="117">
                  <c:v>113.06268958543983</c:v>
                </c:pt>
                <c:pt idx="118">
                  <c:v>114.06268958543984</c:v>
                </c:pt>
                <c:pt idx="119">
                  <c:v>115.06268958543984</c:v>
                </c:pt>
                <c:pt idx="120">
                  <c:v>116.06268958543984</c:v>
                </c:pt>
                <c:pt idx="121">
                  <c:v>117.06268958543986</c:v>
                </c:pt>
                <c:pt idx="122">
                  <c:v>118.06268958543987</c:v>
                </c:pt>
                <c:pt idx="123">
                  <c:v>119.06268958543987</c:v>
                </c:pt>
                <c:pt idx="124">
                  <c:v>120.06268958543987</c:v>
                </c:pt>
                <c:pt idx="125">
                  <c:v>121.06268958543988</c:v>
                </c:pt>
                <c:pt idx="126">
                  <c:v>122.0626895854399</c:v>
                </c:pt>
                <c:pt idx="127">
                  <c:v>123.0626895854399</c:v>
                </c:pt>
                <c:pt idx="128">
                  <c:v>124.0626895854399</c:v>
                </c:pt>
                <c:pt idx="129">
                  <c:v>125.06268958543991</c:v>
                </c:pt>
                <c:pt idx="130">
                  <c:v>126.06268958543993</c:v>
                </c:pt>
                <c:pt idx="131">
                  <c:v>127.06268958543993</c:v>
                </c:pt>
                <c:pt idx="132">
                  <c:v>128.06268958543993</c:v>
                </c:pt>
                <c:pt idx="133">
                  <c:v>129.06268958543995</c:v>
                </c:pt>
                <c:pt idx="134">
                  <c:v>130.06268958543995</c:v>
                </c:pt>
                <c:pt idx="135">
                  <c:v>131.06268958543995</c:v>
                </c:pt>
                <c:pt idx="136">
                  <c:v>132.06268958543995</c:v>
                </c:pt>
                <c:pt idx="137">
                  <c:v>133.06268958543995</c:v>
                </c:pt>
                <c:pt idx="138">
                  <c:v>134.06268958543998</c:v>
                </c:pt>
                <c:pt idx="139">
                  <c:v>135.06268958543998</c:v>
                </c:pt>
                <c:pt idx="140">
                  <c:v>136.06268958543998</c:v>
                </c:pt>
                <c:pt idx="141">
                  <c:v>137.06268958544001</c:v>
                </c:pt>
                <c:pt idx="142">
                  <c:v>138.06268958544001</c:v>
                </c:pt>
                <c:pt idx="143">
                  <c:v>139.06268958544001</c:v>
                </c:pt>
                <c:pt idx="144">
                  <c:v>140.06268958544001</c:v>
                </c:pt>
                <c:pt idx="145">
                  <c:v>141.06268958544001</c:v>
                </c:pt>
                <c:pt idx="146">
                  <c:v>142.06268958544004</c:v>
                </c:pt>
                <c:pt idx="147">
                  <c:v>143.06268958544004</c:v>
                </c:pt>
                <c:pt idx="148">
                  <c:v>144.06268958544004</c:v>
                </c:pt>
                <c:pt idx="149">
                  <c:v>145.06268958544007</c:v>
                </c:pt>
                <c:pt idx="150">
                  <c:v>146.06268958544007</c:v>
                </c:pt>
                <c:pt idx="151">
                  <c:v>147.06268958544007</c:v>
                </c:pt>
                <c:pt idx="152">
                  <c:v>148.06268958544007</c:v>
                </c:pt>
                <c:pt idx="153">
                  <c:v>149.06268958544007</c:v>
                </c:pt>
                <c:pt idx="154">
                  <c:v>150.0626895854401</c:v>
                </c:pt>
                <c:pt idx="155">
                  <c:v>151.0626895854401</c:v>
                </c:pt>
                <c:pt idx="156">
                  <c:v>152.0626895854401</c:v>
                </c:pt>
                <c:pt idx="157">
                  <c:v>153.06268958544013</c:v>
                </c:pt>
                <c:pt idx="158">
                  <c:v>154.06268958544013</c:v>
                </c:pt>
                <c:pt idx="159">
                  <c:v>155.06268958544013</c:v>
                </c:pt>
                <c:pt idx="160">
                  <c:v>156.06268958544013</c:v>
                </c:pt>
                <c:pt idx="161">
                  <c:v>157.06268958544013</c:v>
                </c:pt>
                <c:pt idx="162">
                  <c:v>158.06268958544015</c:v>
                </c:pt>
                <c:pt idx="163">
                  <c:v>159.06268958544015</c:v>
                </c:pt>
                <c:pt idx="164">
                  <c:v>160.06268958544015</c:v>
                </c:pt>
                <c:pt idx="165">
                  <c:v>161.06268958544018</c:v>
                </c:pt>
                <c:pt idx="166">
                  <c:v>162.06268958544018</c:v>
                </c:pt>
                <c:pt idx="167">
                  <c:v>163.06268958544018</c:v>
                </c:pt>
                <c:pt idx="168">
                  <c:v>164.06268958544018</c:v>
                </c:pt>
                <c:pt idx="169">
                  <c:v>165.06268958544018</c:v>
                </c:pt>
                <c:pt idx="170">
                  <c:v>166.06268958544021</c:v>
                </c:pt>
                <c:pt idx="171">
                  <c:v>167.06268958544021</c:v>
                </c:pt>
                <c:pt idx="172">
                  <c:v>168.06268958544021</c:v>
                </c:pt>
                <c:pt idx="173">
                  <c:v>169.06268958544024</c:v>
                </c:pt>
                <c:pt idx="174">
                  <c:v>170.06268958544024</c:v>
                </c:pt>
                <c:pt idx="175">
                  <c:v>171.06268958544024</c:v>
                </c:pt>
                <c:pt idx="176">
                  <c:v>172.06268958544024</c:v>
                </c:pt>
                <c:pt idx="177">
                  <c:v>173.06268958544024</c:v>
                </c:pt>
                <c:pt idx="178">
                  <c:v>174.06268958544027</c:v>
                </c:pt>
                <c:pt idx="179">
                  <c:v>175.06268958544027</c:v>
                </c:pt>
                <c:pt idx="180">
                  <c:v>176.06268958544027</c:v>
                </c:pt>
                <c:pt idx="181">
                  <c:v>177.0626895854403</c:v>
                </c:pt>
                <c:pt idx="182">
                  <c:v>178.0626895854403</c:v>
                </c:pt>
                <c:pt idx="183">
                  <c:v>179.0626895854403</c:v>
                </c:pt>
                <c:pt idx="184">
                  <c:v>180.0626895854403</c:v>
                </c:pt>
                <c:pt idx="185">
                  <c:v>181.0626895854403</c:v>
                </c:pt>
                <c:pt idx="186">
                  <c:v>182.06268958544032</c:v>
                </c:pt>
                <c:pt idx="187">
                  <c:v>183.06268958544032</c:v>
                </c:pt>
                <c:pt idx="188">
                  <c:v>184.06268958544032</c:v>
                </c:pt>
                <c:pt idx="189">
                  <c:v>185.06268958544035</c:v>
                </c:pt>
                <c:pt idx="190">
                  <c:v>186.06268958544035</c:v>
                </c:pt>
                <c:pt idx="191">
                  <c:v>187.06268958544035</c:v>
                </c:pt>
                <c:pt idx="192">
                  <c:v>188.06268958544035</c:v>
                </c:pt>
                <c:pt idx="193">
                  <c:v>189.06268958544035</c:v>
                </c:pt>
                <c:pt idx="194">
                  <c:v>190.06268958544038</c:v>
                </c:pt>
                <c:pt idx="195">
                  <c:v>191.06268958544038</c:v>
                </c:pt>
                <c:pt idx="196">
                  <c:v>192.06268958544035</c:v>
                </c:pt>
                <c:pt idx="197">
                  <c:v>193.06268958544035</c:v>
                </c:pt>
                <c:pt idx="198">
                  <c:v>194.06268958544035</c:v>
                </c:pt>
                <c:pt idx="199">
                  <c:v>195.06268958544032</c:v>
                </c:pt>
                <c:pt idx="200">
                  <c:v>196.0626895854403</c:v>
                </c:pt>
                <c:pt idx="201">
                  <c:v>197.0626895854403</c:v>
                </c:pt>
                <c:pt idx="202">
                  <c:v>198.0626895854403</c:v>
                </c:pt>
                <c:pt idx="203">
                  <c:v>199.06268958544027</c:v>
                </c:pt>
                <c:pt idx="204">
                  <c:v>200.06268958544024</c:v>
                </c:pt>
                <c:pt idx="205">
                  <c:v>201.06268958544024</c:v>
                </c:pt>
                <c:pt idx="206">
                  <c:v>202.06268958544024</c:v>
                </c:pt>
                <c:pt idx="207">
                  <c:v>203.06268958544021</c:v>
                </c:pt>
                <c:pt idx="208">
                  <c:v>204.06268958544018</c:v>
                </c:pt>
                <c:pt idx="209">
                  <c:v>205.06268958544018</c:v>
                </c:pt>
                <c:pt idx="210">
                  <c:v>206.06268958544018</c:v>
                </c:pt>
                <c:pt idx="211">
                  <c:v>207.06268958544015</c:v>
                </c:pt>
                <c:pt idx="212">
                  <c:v>208.06268958544013</c:v>
                </c:pt>
                <c:pt idx="213">
                  <c:v>209.06268958544013</c:v>
                </c:pt>
                <c:pt idx="214">
                  <c:v>210.06268958544013</c:v>
                </c:pt>
                <c:pt idx="215">
                  <c:v>211.0626895854401</c:v>
                </c:pt>
                <c:pt idx="216">
                  <c:v>212.06268958544007</c:v>
                </c:pt>
                <c:pt idx="217">
                  <c:v>213.06268958544007</c:v>
                </c:pt>
                <c:pt idx="218">
                  <c:v>214.06268958544007</c:v>
                </c:pt>
                <c:pt idx="219">
                  <c:v>215.06268958544004</c:v>
                </c:pt>
                <c:pt idx="220">
                  <c:v>216.06268958544001</c:v>
                </c:pt>
                <c:pt idx="221">
                  <c:v>217.06268958544001</c:v>
                </c:pt>
                <c:pt idx="222">
                  <c:v>218.06268958544001</c:v>
                </c:pt>
                <c:pt idx="223">
                  <c:v>219.06268958543998</c:v>
                </c:pt>
                <c:pt idx="224">
                  <c:v>220.06268958543995</c:v>
                </c:pt>
                <c:pt idx="225">
                  <c:v>221.06268958543995</c:v>
                </c:pt>
                <c:pt idx="226">
                  <c:v>222.06268958543995</c:v>
                </c:pt>
                <c:pt idx="227">
                  <c:v>223.06268958543993</c:v>
                </c:pt>
                <c:pt idx="228">
                  <c:v>224.0626895854399</c:v>
                </c:pt>
                <c:pt idx="229">
                  <c:v>225.0626895854399</c:v>
                </c:pt>
                <c:pt idx="230">
                  <c:v>226.0626895854399</c:v>
                </c:pt>
                <c:pt idx="231">
                  <c:v>227.06268958543987</c:v>
                </c:pt>
                <c:pt idx="232">
                  <c:v>228.06268958543984</c:v>
                </c:pt>
                <c:pt idx="233">
                  <c:v>229.06268958543984</c:v>
                </c:pt>
                <c:pt idx="234">
                  <c:v>230.06268958543984</c:v>
                </c:pt>
                <c:pt idx="235">
                  <c:v>231.06268958543981</c:v>
                </c:pt>
                <c:pt idx="236">
                  <c:v>232.06268958543978</c:v>
                </c:pt>
                <c:pt idx="237">
                  <c:v>233.06268958543978</c:v>
                </c:pt>
                <c:pt idx="238">
                  <c:v>234.06268958543978</c:v>
                </c:pt>
                <c:pt idx="239">
                  <c:v>235.06268958543976</c:v>
                </c:pt>
                <c:pt idx="240">
                  <c:v>236.06268958543973</c:v>
                </c:pt>
                <c:pt idx="241">
                  <c:v>237.06268958543973</c:v>
                </c:pt>
                <c:pt idx="242">
                  <c:v>238.06268958543973</c:v>
                </c:pt>
                <c:pt idx="243">
                  <c:v>239.0626895854397</c:v>
                </c:pt>
                <c:pt idx="244">
                  <c:v>240.06268958543967</c:v>
                </c:pt>
              </c:numCache>
            </c:numRef>
          </c:cat>
          <c:val>
            <c:numRef>
              <c:f>'Liquids Production'!$C$18:$C$277</c:f>
              <c:numCache>
                <c:formatCode>0.00</c:formatCode>
                <c:ptCount val="260"/>
                <c:pt idx="0">
                  <c:v>55.2173913043478</c:v>
                </c:pt>
                <c:pt idx="1">
                  <c:v>63.913043478260803</c:v>
                </c:pt>
                <c:pt idx="2">
                  <c:v>69.130434782608702</c:v>
                </c:pt>
                <c:pt idx="3">
                  <c:v>72.608695652173907</c:v>
                </c:pt>
                <c:pt idx="4">
                  <c:v>76.086956521739197</c:v>
                </c:pt>
                <c:pt idx="5">
                  <c:v>79.565217391304401</c:v>
                </c:pt>
                <c:pt idx="6">
                  <c:v>84.7826086956522</c:v>
                </c:pt>
                <c:pt idx="7">
                  <c:v>84.7826086956522</c:v>
                </c:pt>
                <c:pt idx="8">
                  <c:v>88.260869565217405</c:v>
                </c:pt>
                <c:pt idx="9">
                  <c:v>93.478260869565304</c:v>
                </c:pt>
                <c:pt idx="10">
                  <c:v>93.478260869565304</c:v>
                </c:pt>
                <c:pt idx="11">
                  <c:v>93.478260869565304</c:v>
                </c:pt>
                <c:pt idx="12">
                  <c:v>92</c:v>
                </c:pt>
                <c:pt idx="13">
                  <c:v>87.321809873686405</c:v>
                </c:pt>
                <c:pt idx="14">
                  <c:v>79.205102425857348</c:v>
                </c:pt>
                <c:pt idx="15">
                  <c:v>72.510543092929751</c:v>
                </c:pt>
                <c:pt idx="16">
                  <c:v>66.891412926135061</c:v>
                </c:pt>
                <c:pt idx="17">
                  <c:v>62.105653511985544</c:v>
                </c:pt>
                <c:pt idx="18">
                  <c:v>57.979063733217025</c:v>
                </c:pt>
                <c:pt idx="19">
                  <c:v>54.383026565659094</c:v>
                </c:pt>
                <c:pt idx="20">
                  <c:v>51.220480547096685</c:v>
                </c:pt>
                <c:pt idx="21">
                  <c:v>48.41677899843517</c:v>
                </c:pt>
                <c:pt idx="22">
                  <c:v>45.913557319886465</c:v>
                </c:pt>
                <c:pt idx="23">
                  <c:v>43.664512365176193</c:v>
                </c:pt>
                <c:pt idx="24">
                  <c:v>41.632432019631906</c:v>
                </c:pt>
                <c:pt idx="25">
                  <c:v>39.787062804098859</c:v>
                </c:pt>
                <c:pt idx="26">
                  <c:v>38.103551762394531</c:v>
                </c:pt>
                <c:pt idx="27">
                  <c:v>36.561289744757445</c:v>
                </c:pt>
                <c:pt idx="28">
                  <c:v>35.143040277399855</c:v>
                </c:pt>
                <c:pt idx="29">
                  <c:v>33.834274914191383</c:v>
                </c:pt>
                <c:pt idx="30">
                  <c:v>32.622660075049097</c:v>
                </c:pt>
                <c:pt idx="31">
                  <c:v>31.497656516355335</c:v>
                </c:pt>
                <c:pt idx="32">
                  <c:v>30.450203575360582</c:v>
                </c:pt>
                <c:pt idx="33">
                  <c:v>29.47246794325341</c:v>
                </c:pt>
                <c:pt idx="34">
                  <c:v>28.557642069722547</c:v>
                </c:pt>
                <c:pt idx="35">
                  <c:v>27.699781110330612</c:v>
                </c:pt>
                <c:pt idx="36">
                  <c:v>26.893670074344161</c:v>
                </c:pt>
                <c:pt idx="37">
                  <c:v>26.134714834245361</c:v>
                </c:pt>
                <c:pt idx="38">
                  <c:v>25.41885213578972</c:v>
                </c:pt>
                <c:pt idx="39">
                  <c:v>24.742474848305317</c:v>
                </c:pt>
                <c:pt idx="40">
                  <c:v>24.102369522833822</c:v>
                </c:pt>
                <c:pt idx="41">
                  <c:v>23.49566395390115</c:v>
                </c:pt>
                <c:pt idx="42">
                  <c:v>22.919782921340047</c:v>
                </c:pt>
                <c:pt idx="43">
                  <c:v>22.372410659219039</c:v>
                </c:pt>
                <c:pt idx="44">
                  <c:v>21.851458886857582</c:v>
                </c:pt>
                <c:pt idx="45">
                  <c:v>21.355039462147872</c:v>
                </c:pt>
                <c:pt idx="46">
                  <c:v>20.881440894774173</c:v>
                </c:pt>
                <c:pt idx="47">
                  <c:v>20.42910809746995</c:v>
                </c:pt>
                <c:pt idx="48">
                  <c:v>19.996624865488887</c:v>
                </c:pt>
                <c:pt idx="49">
                  <c:v>19.582698664276563</c:v>
                </c:pt>
                <c:pt idx="50">
                  <c:v>19.186147377712356</c:v>
                </c:pt>
                <c:pt idx="51">
                  <c:v>18.805887727924883</c:v>
                </c:pt>
                <c:pt idx="52">
                  <c:v>18.440925125414772</c:v>
                </c:pt>
                <c:pt idx="53">
                  <c:v>18.090344747252011</c:v>
                </c:pt>
                <c:pt idx="54">
                  <c:v>17.753303673180092</c:v>
                </c:pt>
                <c:pt idx="55">
                  <c:v>17.429023935911417</c:v>
                </c:pt>
                <c:pt idx="56">
                  <c:v>17.116786363808739</c:v>
                </c:pt>
                <c:pt idx="57">
                  <c:v>16.815925112367772</c:v>
                </c:pt>
                <c:pt idx="58">
                  <c:v>16.525822796123915</c:v>
                </c:pt>
                <c:pt idx="59">
                  <c:v>16.245906145345117</c:v>
                </c:pt>
                <c:pt idx="60">
                  <c:v>15.975642122581485</c:v>
                </c:pt>
                <c:pt idx="61">
                  <c:v>15.714534443173346</c:v>
                </c:pt>
                <c:pt idx="62">
                  <c:v>15.462120451460358</c:v>
                </c:pt>
                <c:pt idx="63">
                  <c:v>15.217968310919023</c:v>
                </c:pt>
                <c:pt idx="64">
                  <c:v>14.981674471976095</c:v>
                </c:pt>
                <c:pt idx="65">
                  <c:v>14.752861385956795</c:v>
                </c:pt>
                <c:pt idx="66">
                  <c:v>14.531175437660563</c:v>
                </c:pt>
                <c:pt idx="67">
                  <c:v>14.316285072518946</c:v>
                </c:pt>
                <c:pt idx="68">
                  <c:v>14.107879097268537</c:v>
                </c:pt>
                <c:pt idx="69">
                  <c:v>13.905665135642371</c:v>
                </c:pt>
                <c:pt idx="70">
                  <c:v>13.709368222804653</c:v>
                </c:pt>
                <c:pt idx="71">
                  <c:v>13.518729524179966</c:v>
                </c:pt>
                <c:pt idx="72">
                  <c:v>13.333505166001077</c:v>
                </c:pt>
                <c:pt idx="73">
                  <c:v>13.153465166356179</c:v>
                </c:pt>
                <c:pt idx="74">
                  <c:v>12.978392456787006</c:v>
                </c:pt>
                <c:pt idx="75">
                  <c:v>12.808081985600456</c:v>
                </c:pt>
                <c:pt idx="76">
                  <c:v>12.642339895029579</c:v>
                </c:pt>
                <c:pt idx="77">
                  <c:v>12.480982765233662</c:v>
                </c:pt>
                <c:pt idx="78">
                  <c:v>12.32383691887879</c:v>
                </c:pt>
                <c:pt idx="79">
                  <c:v>12.170737780701495</c:v>
                </c:pt>
                <c:pt idx="80">
                  <c:v>12.021529287042206</c:v>
                </c:pt>
                <c:pt idx="81">
                  <c:v>11.876063340851779</c:v>
                </c:pt>
                <c:pt idx="82">
                  <c:v>11.734199308130824</c:v>
                </c:pt>
                <c:pt idx="83">
                  <c:v>11.595803552167947</c:v>
                </c:pt>
                <c:pt idx="84">
                  <c:v>11.460749002302375</c:v>
                </c:pt>
                <c:pt idx="85">
                  <c:v>11.328914754257504</c:v>
                </c:pt>
                <c:pt idx="86">
                  <c:v>11.200185699377407</c:v>
                </c:pt>
                <c:pt idx="87">
                  <c:v>11.074452180353081</c:v>
                </c:pt>
                <c:pt idx="88">
                  <c:v>10.951609671253077</c:v>
                </c:pt>
                <c:pt idx="89">
                  <c:v>10.831558479877252</c:v>
                </c:pt>
                <c:pt idx="90">
                  <c:v>10.714203470634567</c:v>
                </c:pt>
                <c:pt idx="91">
                  <c:v>10.599453806310406</c:v>
                </c:pt>
                <c:pt idx="92">
                  <c:v>10.487222707235683</c:v>
                </c:pt>
                <c:pt idx="93">
                  <c:v>10.377427226502917</c:v>
                </c:pt>
                <c:pt idx="94">
                  <c:v>10.269988039993605</c:v>
                </c:pt>
                <c:pt idx="95">
                  <c:v>10.164829250088889</c:v>
                </c:pt>
                <c:pt idx="96">
                  <c:v>10.061878202033057</c:v>
                </c:pt>
                <c:pt idx="97">
                  <c:v>9.9610653120067525</c:v>
                </c:pt>
                <c:pt idx="98">
                  <c:v>9.8623239060467895</c:v>
                </c:pt>
                <c:pt idx="99">
                  <c:v>9.7655900690212896</c:v>
                </c:pt>
                <c:pt idx="100">
                  <c:v>9.6708025029343307</c:v>
                </c:pt>
                <c:pt idx="101">
                  <c:v>9.5779023938933552</c:v>
                </c:pt>
                <c:pt idx="102">
                  <c:v>9.4868332871271193</c:v>
                </c:pt>
                <c:pt idx="103">
                  <c:v>9.3975409694902616</c:v>
                </c:pt>
                <c:pt idx="104">
                  <c:v>9.3099733589359026</c:v>
                </c:pt>
                <c:pt idx="105">
                  <c:v>9.2240804004779964</c:v>
                </c:pt>
                <c:pt idx="106">
                  <c:v>9.1398139682027573</c:v>
                </c:pt>
                <c:pt idx="107">
                  <c:v>9.0571277729217918</c:v>
                </c:pt>
                <c:pt idx="108">
                  <c:v>8.9759772750913083</c:v>
                </c:pt>
                <c:pt idx="109">
                  <c:v>8.8963196026496991</c:v>
                </c:pt>
                <c:pt idx="110">
                  <c:v>8.8181134734519553</c:v>
                </c:pt>
                <c:pt idx="111">
                  <c:v>8.7413191220031141</c:v>
                </c:pt>
                <c:pt idx="112">
                  <c:v>8.665898230215042</c:v>
                </c:pt>
                <c:pt idx="113">
                  <c:v>8.5918138619305733</c:v>
                </c:pt>
                <c:pt idx="114">
                  <c:v>8.5190304009777069</c:v>
                </c:pt>
                <c:pt idx="115">
                  <c:v>8.4475134925335755</c:v>
                </c:pt>
                <c:pt idx="116">
                  <c:v>8.3772299875931573</c:v>
                </c:pt>
                <c:pt idx="117">
                  <c:v>8.3081478903525152</c:v>
                </c:pt>
                <c:pt idx="118">
                  <c:v>8.2402363083293348</c:v>
                </c:pt>
                <c:pt idx="119">
                  <c:v>8.1734654050556976</c:v>
                </c:pt>
                <c:pt idx="120">
                  <c:v>8.1078063551895418</c:v>
                </c:pt>
                <c:pt idx="121">
                  <c:v>8.0432313019014909</c:v>
                </c:pt>
                <c:pt idx="122">
                  <c:v>7.9797133164033838</c:v>
                </c:pt>
                <c:pt idx="123">
                  <c:v>7.9172263594938022</c:v>
                </c:pt>
                <c:pt idx="124">
                  <c:v>7.8557452450041731</c:v>
                </c:pt>
                <c:pt idx="125">
                  <c:v>7.7952456050364054</c:v>
                </c:pt>
                <c:pt idx="126">
                  <c:v>7.7357038568905256</c:v>
                </c:pt>
                <c:pt idx="127">
                  <c:v>7.6770971715868761</c:v>
                </c:pt>
                <c:pt idx="128">
                  <c:v>7.6194034438939058</c:v>
                </c:pt>
                <c:pt idx="129">
                  <c:v>7.5626012637779692</c:v>
                </c:pt>
                <c:pt idx="130">
                  <c:v>7.5066698891970427</c:v>
                </c:pt>
                <c:pt idx="131">
                  <c:v>7.4515892201648501</c:v>
                </c:pt>
                <c:pt idx="132">
                  <c:v>7.3973397740167597</c:v>
                </c:pt>
                <c:pt idx="133">
                  <c:v>7.3439026618128231</c:v>
                </c:pt>
                <c:pt idx="134">
                  <c:v>7.2912595658173158</c:v>
                </c:pt>
                <c:pt idx="135">
                  <c:v>7.2393927179979238</c:v>
                </c:pt>
                <c:pt idx="136">
                  <c:v>7.1882848794908654</c:v>
                </c:pt>
                <c:pt idx="137">
                  <c:v>7.1379193209817853</c:v>
                </c:pt>
                <c:pt idx="138">
                  <c:v>7.0882798039549755</c:v>
                </c:pt>
                <c:pt idx="139">
                  <c:v>7.0393505627663586</c:v>
                </c:pt>
                <c:pt idx="140">
                  <c:v>6.9911162874982287</c:v>
                </c:pt>
                <c:pt idx="141">
                  <c:v>6.9435621075562608</c:v>
                </c:pt>
                <c:pt idx="142">
                  <c:v>6.8966735759714357</c:v>
                </c:pt>
                <c:pt idx="143">
                  <c:v>6.8504366543718378</c:v>
                </c:pt>
                <c:pt idx="144">
                  <c:v>6.8048376985909904</c:v>
                </c:pt>
                <c:pt idx="145">
                  <c:v>6.7598634448816757</c:v>
                </c:pt>
                <c:pt idx="146">
                  <c:v>6.7155009967054475</c:v>
                </c:pt>
                <c:pt idx="147">
                  <c:v>6.6717378120701438</c:v>
                </c:pt>
                <c:pt idx="148">
                  <c:v>6.6285616913888292</c:v>
                </c:pt>
                <c:pt idx="149">
                  <c:v>6.5859607658354369</c:v>
                </c:pt>
                <c:pt idx="150">
                  <c:v>6.5439234861733562</c:v>
                </c:pt>
                <c:pt idx="151">
                  <c:v>6.5024386120348048</c:v>
                </c:pt>
                <c:pt idx="152">
                  <c:v>6.4614952016297913</c:v>
                </c:pt>
                <c:pt idx="153">
                  <c:v>6.4210826018647218</c:v>
                </c:pt>
                <c:pt idx="154">
                  <c:v>6.3811904388517071</c:v>
                </c:pt>
                <c:pt idx="155">
                  <c:v>6.3418086087906271</c:v>
                </c:pt>
                <c:pt idx="156">
                  <c:v>6.3029272692070331</c:v>
                </c:pt>
                <c:pt idx="157">
                  <c:v>6.2645368305296456</c:v>
                </c:pt>
                <c:pt idx="158">
                  <c:v>6.2266279479922417</c:v>
                </c:pt>
                <c:pt idx="159">
                  <c:v>6.1891915138454578</c:v>
                </c:pt>
                <c:pt idx="160">
                  <c:v>6.1522186498646008</c:v>
                </c:pt>
                <c:pt idx="161">
                  <c:v>6.1157007001406072</c:v>
                </c:pt>
                <c:pt idx="162">
                  <c:v>6.0796292241415051</c:v>
                </c:pt>
                <c:pt idx="163">
                  <c:v>6.0439959900327933</c:v>
                </c:pt>
                <c:pt idx="164">
                  <c:v>6.0087929682453582</c:v>
                </c:pt>
                <c:pt idx="165">
                  <c:v>5.9740123252803574</c:v>
                </c:pt>
                <c:pt idx="166">
                  <c:v>5.9396464177409607</c:v>
                </c:pt>
                <c:pt idx="167">
                  <c:v>5.905687786581165</c:v>
                </c:pt>
                <c:pt idx="168">
                  <c:v>5.8721291515626906</c:v>
                </c:pt>
                <c:pt idx="169">
                  <c:v>5.8389634059110893</c:v>
                </c:pt>
                <c:pt idx="170">
                  <c:v>5.8061836111627709</c:v>
                </c:pt>
                <c:pt idx="171">
                  <c:v>5.7737829921950734</c:v>
                </c:pt>
                <c:pt idx="172">
                  <c:v>5.7417549324317809</c:v>
                </c:pt>
                <c:pt idx="173">
                  <c:v>5.710092969216868</c:v>
                </c:pt>
                <c:pt idx="174">
                  <c:v>5.6787907893497112</c:v>
                </c:pt>
                <c:pt idx="175">
                  <c:v>5.6478422247751228</c:v>
                </c:pt>
                <c:pt idx="176">
                  <c:v>5.6172412484219976</c:v>
                </c:pt>
                <c:pt idx="177">
                  <c:v>5.5869819701846577</c:v>
                </c:pt>
                <c:pt idx="178">
                  <c:v>5.5570586330411542</c:v>
                </c:pt>
                <c:pt idx="179">
                  <c:v>5.5274656093031451</c:v>
                </c:pt>
                <c:pt idx="180">
                  <c:v>5.4981973969921292</c:v>
                </c:pt>
                <c:pt idx="181">
                  <c:v>5.4692486163371408</c:v>
                </c:pt>
                <c:pt idx="182">
                  <c:v>5.4406140063891186</c:v>
                </c:pt>
                <c:pt idx="183">
                  <c:v>5.4122884217474665</c:v>
                </c:pt>
                <c:pt idx="184">
                  <c:v>5.384266829394468</c:v>
                </c:pt>
                <c:pt idx="185">
                  <c:v>5.3565443056334558</c:v>
                </c:pt>
                <c:pt idx="186">
                  <c:v>5.3291160331267351</c:v>
                </c:pt>
                <c:pt idx="187">
                  <c:v>5.3019772980295237</c:v>
                </c:pt>
                <c:pt idx="188">
                  <c:v>5.2751234872163</c:v>
                </c:pt>
                <c:pt idx="189">
                  <c:v>5.2485500855959932</c:v>
                </c:pt>
                <c:pt idx="190">
                  <c:v>5.2222526735129309</c:v>
                </c:pt>
                <c:pt idx="191">
                  <c:v>5.1962269242300438</c:v>
                </c:pt>
                <c:pt idx="192">
                  <c:v>5.1704686014916517</c:v>
                </c:pt>
                <c:pt idx="193">
                  <c:v>5.1449735571625812</c:v>
                </c:pt>
                <c:pt idx="194">
                  <c:v>5.1197377289410921</c:v>
                </c:pt>
                <c:pt idx="195">
                  <c:v>5.0947571381427599</c:v>
                </c:pt>
                <c:pt idx="196">
                  <c:v>5.0700278875528531</c:v>
                </c:pt>
                <c:pt idx="197">
                  <c:v>5.0455461593446884</c:v>
                </c:pt>
                <c:pt idx="198">
                  <c:v>5.0213082130616256</c:v>
                </c:pt>
                <c:pt idx="199">
                  <c:v>4.9973103836605013</c:v>
                </c:pt>
                <c:pt idx="200">
                  <c:v>4.9735490796141626</c:v>
                </c:pt>
                <c:pt idx="201">
                  <c:v>4.950020781071248</c:v>
                </c:pt>
                <c:pt idx="202">
                  <c:v>4.9267220380709889</c:v>
                </c:pt>
                <c:pt idx="203">
                  <c:v>4.9036494688113113</c:v>
                </c:pt>
                <c:pt idx="204">
                  <c:v>4.8807997579682105</c:v>
                </c:pt>
                <c:pt idx="205">
                  <c:v>4.858169655064815</c:v>
                </c:pt>
                <c:pt idx="206">
                  <c:v>4.8357559728882196</c:v>
                </c:pt>
                <c:pt idx="207">
                  <c:v>4.8135555859527122</c:v>
                </c:pt>
                <c:pt idx="208">
                  <c:v>4.7915654290075684</c:v>
                </c:pt>
                <c:pt idx="209">
                  <c:v>4.7697824955880703</c:v>
                </c:pt>
                <c:pt idx="210">
                  <c:v>4.7482038366082584</c:v>
                </c:pt>
                <c:pt idx="211">
                  <c:v>4.7268265589939675</c:v>
                </c:pt>
                <c:pt idx="212">
                  <c:v>4.7056478243548634</c:v>
                </c:pt>
                <c:pt idx="213">
                  <c:v>4.6846648476941732</c:v>
                </c:pt>
                <c:pt idx="214">
                  <c:v>4.6638748961548409</c:v>
                </c:pt>
                <c:pt idx="215">
                  <c:v>4.6432752878009476</c:v>
                </c:pt>
                <c:pt idx="216">
                  <c:v>4.6228633904331966</c:v>
                </c:pt>
                <c:pt idx="217">
                  <c:v>4.6026366204374183</c:v>
                </c:pt>
                <c:pt idx="218">
                  <c:v>4.5825924416649766</c:v>
                </c:pt>
                <c:pt idx="219">
                  <c:v>4.5627283643440322</c:v>
                </c:pt>
                <c:pt idx="220">
                  <c:v>4.5430419440207581</c:v>
                </c:pt>
                <c:pt idx="221">
                  <c:v>4.5235307805294429</c:v>
                </c:pt>
                <c:pt idx="222">
                  <c:v>4.5041925169906545</c:v>
                </c:pt>
                <c:pt idx="223">
                  <c:v>4.4850248388365159</c:v>
                </c:pt>
                <c:pt idx="224">
                  <c:v>4.4660254728622615</c:v>
                </c:pt>
                <c:pt idx="225">
                  <c:v>4.4471921863032486</c:v>
                </c:pt>
                <c:pt idx="226">
                  <c:v>4.4285227859366376</c:v>
                </c:pt>
                <c:pt idx="227">
                  <c:v>4.4100151172069522</c:v>
                </c:pt>
                <c:pt idx="228">
                  <c:v>4.3916670633748236</c:v>
                </c:pt>
                <c:pt idx="229">
                  <c:v>4.3734765446881179</c:v>
                </c:pt>
                <c:pt idx="230">
                  <c:v>4.3554415175748922</c:v>
                </c:pt>
                <c:pt idx="231">
                  <c:v>4.3375599738573545</c:v>
                </c:pt>
                <c:pt idx="232">
                  <c:v>4.3198299399863549</c:v>
                </c:pt>
                <c:pt idx="233">
                  <c:v>4.3022494762956418</c:v>
                </c:pt>
                <c:pt idx="234">
                  <c:v>4.2848166762753888</c:v>
                </c:pt>
                <c:pt idx="235">
                  <c:v>4.2675296658643314</c:v>
                </c:pt>
                <c:pt idx="236">
                  <c:v>4.250386602760079</c:v>
                </c:pt>
                <c:pt idx="237">
                  <c:v>4.2333856757468737</c:v>
                </c:pt>
                <c:pt idx="238">
                  <c:v>4.2165251040404943</c:v>
                </c:pt>
                <c:pt idx="239">
                  <c:v>4.1998031366496411</c:v>
                </c:pt>
                <c:pt idx="240">
                  <c:v>4.1832180517533475</c:v>
                </c:pt>
                <c:pt idx="241">
                  <c:v>4.1667681560940659</c:v>
                </c:pt>
                <c:pt idx="242">
                  <c:v>4.1504517843857558</c:v>
                </c:pt>
                <c:pt idx="243">
                  <c:v>4.134267298736761</c:v>
                </c:pt>
                <c:pt idx="244">
                  <c:v>4.1182130880868941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4-402A-8A0E-76330563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97408"/>
        <c:axId val="128898944"/>
      </c:lineChart>
      <c:catAx>
        <c:axId val="12889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8944"/>
        <c:crosses val="autoZero"/>
        <c:auto val="1"/>
        <c:lblAlgn val="ctr"/>
        <c:lblOffset val="100"/>
        <c:noMultiLvlLbl val="0"/>
      </c:catAx>
      <c:valAx>
        <c:axId val="1288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</a:t>
                </a:r>
                <a:r>
                  <a:rPr lang="en-US" baseline="0"/>
                  <a:t> (Bbls/d)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38</xdr:row>
          <xdr:rowOff>59871</xdr:rowOff>
        </xdr:from>
        <xdr:to>
          <xdr:col>31</xdr:col>
          <xdr:colOff>315686</xdr:colOff>
          <xdr:row>53</xdr:row>
          <xdr:rowOff>59871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41C280D-B7B2-57B1-61C1-D9CAEBCE85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42:$Y$56" spid="_x0000_s92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336986" y="7603671"/>
              <a:ext cx="3543300" cy="33310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39</xdr:row>
          <xdr:rowOff>0</xdr:rowOff>
        </xdr:from>
        <xdr:to>
          <xdr:col>38</xdr:col>
          <xdr:colOff>283029</xdr:colOff>
          <xdr:row>50</xdr:row>
          <xdr:rowOff>136072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D5EA8CD4-491B-0EE4-64A4-9C76A6E9E8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27:$Y$40" spid="_x0000_s92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870886" y="7728857"/>
              <a:ext cx="3548743" cy="272687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70757</xdr:colOff>
      <xdr:row>0</xdr:row>
      <xdr:rowOff>201385</xdr:rowOff>
    </xdr:from>
    <xdr:to>
      <xdr:col>8</xdr:col>
      <xdr:colOff>1823358</xdr:colOff>
      <xdr:row>10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05A86-F90E-47AA-ABAC-C21B21558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81641</xdr:colOff>
      <xdr:row>1</xdr:row>
      <xdr:rowOff>277587</xdr:rowOff>
    </xdr:from>
    <xdr:to>
      <xdr:col>4</xdr:col>
      <xdr:colOff>767182</xdr:colOff>
      <xdr:row>8</xdr:row>
      <xdr:rowOff>125186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6566F-23E9-7B93-32A5-A963FBB0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641" y="478973"/>
          <a:ext cx="2536112" cy="1453242"/>
        </a:xfrm>
        <a:prstGeom prst="rect">
          <a:avLst/>
        </a:prstGeom>
      </xdr:spPr>
    </xdr:pic>
    <xdr:clientData/>
  </xdr:twoCellAnchor>
  <xdr:twoCellAnchor editAs="oneCell">
    <xdr:from>
      <xdr:col>4</xdr:col>
      <xdr:colOff>870857</xdr:colOff>
      <xdr:row>1</xdr:row>
      <xdr:rowOff>217715</xdr:rowOff>
    </xdr:from>
    <xdr:to>
      <xdr:col>6</xdr:col>
      <xdr:colOff>1690004</xdr:colOff>
      <xdr:row>8</xdr:row>
      <xdr:rowOff>59871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B1299B-FD26-4A28-B15D-5C7A87762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9428" y="419101"/>
          <a:ext cx="3333747" cy="1447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1504950</xdr:colOff>
      <xdr:row>10</xdr:row>
      <xdr:rowOff>184150</xdr:rowOff>
    </xdr:from>
    <xdr:to>
      <xdr:col>13</xdr:col>
      <xdr:colOff>254000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1A3C0F-9326-4FB4-A3A6-9763D3F0E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1784350</xdr:colOff>
      <xdr:row>11</xdr:row>
      <xdr:rowOff>184150</xdr:rowOff>
    </xdr:from>
    <xdr:to>
      <xdr:col>14</xdr:col>
      <xdr:colOff>736600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0E3F4-D4E1-4A03-BC33-962DFC7F9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72BC-3D3E-4593-A644-AD02FC9AE74C}">
  <sheetPr codeName="Sheet1"/>
  <dimension ref="A1:AH261"/>
  <sheetViews>
    <sheetView tabSelected="1" workbookViewId="0">
      <selection activeCell="G7" sqref="G7"/>
    </sheetView>
  </sheetViews>
  <sheetFormatPr defaultRowHeight="14.6" x14ac:dyDescent="0.4"/>
  <cols>
    <col min="1" max="1" width="13.15234375" customWidth="1"/>
    <col min="2" max="2" width="14.4609375" customWidth="1"/>
    <col min="3" max="5" width="11.69140625" customWidth="1"/>
    <col min="6" max="6" width="11" customWidth="1"/>
    <col min="7" max="7" width="11.921875" customWidth="1"/>
    <col min="9" max="9" width="14.61328125" bestFit="1" customWidth="1"/>
    <col min="10" max="10" width="15.3828125" customWidth="1"/>
    <col min="11" max="11" width="13.61328125" bestFit="1" customWidth="1"/>
    <col min="12" max="12" width="10.07421875" bestFit="1" customWidth="1"/>
    <col min="13" max="13" width="12.61328125" customWidth="1"/>
    <col min="14" max="14" width="14.4609375" customWidth="1"/>
    <col min="15" max="15" width="14.61328125" customWidth="1"/>
    <col min="16" max="16" width="3.07421875" customWidth="1"/>
    <col min="17" max="17" width="3.3046875" customWidth="1"/>
    <col min="18" max="25" width="5.4609375" customWidth="1"/>
    <col min="26" max="26" width="18.3046875" customWidth="1"/>
  </cols>
  <sheetData>
    <row r="1" spans="1:34" x14ac:dyDescent="0.4">
      <c r="A1" t="s">
        <v>26</v>
      </c>
      <c r="B1">
        <v>0</v>
      </c>
    </row>
    <row r="2" spans="1:34" x14ac:dyDescent="0.4">
      <c r="A2" t="s">
        <v>69</v>
      </c>
      <c r="B2">
        <v>6000000</v>
      </c>
    </row>
    <row r="3" spans="1:34" s="65" customFormat="1" x14ac:dyDescent="0.4">
      <c r="A3" s="65" t="s">
        <v>144</v>
      </c>
      <c r="B3" s="65">
        <v>0</v>
      </c>
    </row>
    <row r="4" spans="1:34" x14ac:dyDescent="0.4">
      <c r="A4" t="s">
        <v>125</v>
      </c>
      <c r="B4" s="71">
        <f>SUM(M12:M251)</f>
        <v>1060067.8417095682</v>
      </c>
    </row>
    <row r="5" spans="1:34" x14ac:dyDescent="0.4">
      <c r="A5" t="s">
        <v>150</v>
      </c>
      <c r="B5" s="71">
        <f>SUM(O12:O251)</f>
        <v>710670.89980695723</v>
      </c>
      <c r="I5">
        <f>0.32*20</f>
        <v>6.4</v>
      </c>
    </row>
    <row r="6" spans="1:34" x14ac:dyDescent="0.4">
      <c r="A6" t="s">
        <v>141</v>
      </c>
      <c r="B6" s="71">
        <v>55</v>
      </c>
      <c r="D6" s="110">
        <v>686.43</v>
      </c>
      <c r="E6">
        <f>D6/6.2929</f>
        <v>109.08007436952755</v>
      </c>
      <c r="G6" s="83">
        <f>(H12-0.05)</f>
        <v>0.1169100805</v>
      </c>
      <c r="H6">
        <f>G6*6</f>
        <v>0.70146048299999997</v>
      </c>
    </row>
    <row r="7" spans="1:34" x14ac:dyDescent="0.4">
      <c r="A7" t="s">
        <v>142</v>
      </c>
      <c r="B7" s="80">
        <v>0.02</v>
      </c>
      <c r="G7">
        <f>10^6*G6</f>
        <v>116910.0805</v>
      </c>
    </row>
    <row r="11" spans="1:34" s="69" customFormat="1" ht="43.75" x14ac:dyDescent="0.4">
      <c r="A11" s="69" t="s">
        <v>25</v>
      </c>
      <c r="B11" s="69" t="s">
        <v>24</v>
      </c>
      <c r="C11" s="69" t="s">
        <v>115</v>
      </c>
      <c r="D11" s="69" t="s">
        <v>143</v>
      </c>
      <c r="E11" s="69" t="s">
        <v>116</v>
      </c>
      <c r="F11" s="69" t="s">
        <v>117</v>
      </c>
      <c r="G11" s="69" t="s">
        <v>118</v>
      </c>
      <c r="H11" s="69" t="s">
        <v>121</v>
      </c>
      <c r="I11" s="69" t="s">
        <v>145</v>
      </c>
      <c r="J11" s="69" t="s">
        <v>122</v>
      </c>
      <c r="K11" s="69" t="s">
        <v>123</v>
      </c>
      <c r="L11" s="69" t="s">
        <v>146</v>
      </c>
      <c r="M11" s="69" t="s">
        <v>127</v>
      </c>
      <c r="N11" s="69" t="s">
        <v>126</v>
      </c>
      <c r="O11" s="69" t="s">
        <v>149</v>
      </c>
      <c r="Z11" s="81">
        <f>B4</f>
        <v>1060067.8417095682</v>
      </c>
      <c r="AA11" s="69">
        <v>30</v>
      </c>
      <c r="AB11" s="69">
        <v>40</v>
      </c>
      <c r="AC11" s="69">
        <v>50</v>
      </c>
      <c r="AD11" s="69">
        <v>60</v>
      </c>
      <c r="AE11" s="69">
        <v>70</v>
      </c>
      <c r="AF11" s="69">
        <v>80</v>
      </c>
      <c r="AG11" s="69">
        <v>90</v>
      </c>
      <c r="AH11" s="69">
        <v>180</v>
      </c>
    </row>
    <row r="12" spans="1:34" x14ac:dyDescent="0.4">
      <c r="A12">
        <v>1</v>
      </c>
      <c r="B12" s="65">
        <f t="shared" ref="B12:B75" si="0">A12</f>
        <v>1</v>
      </c>
      <c r="C12">
        <f>VLOOKUP(B12,'Oil Production'!$A$13:$I$252,7,FALSE)</f>
        <v>19669.951090019284</v>
      </c>
      <c r="D12" s="71">
        <f>B6</f>
        <v>55</v>
      </c>
      <c r="E12">
        <f>D12*Royalties!$T$6</f>
        <v>345.93955</v>
      </c>
      <c r="F12" s="65">
        <f>MIN((E12&lt;=Royalties!$N$10)*Royalties!$P$9+(E12&gt;=Royalties!$N$10)*(E12&lt;=Royalties!$N$11)*((E12-Royalties!$N$10)*Royalties!$O$10+Royalties!$P$10)+(E12&gt;=Royalties!$N$11)*(E12&lt;=Royalties!$N$12)*((E12-Royalties!$N$11)*Royalties!$O$11+Royalties!$P$11)+(E12&gt;Royalties!$N$12)*((E12-Royalties!$N$12)*Royalties!$O$12+Royalties!$P$12),Royalties!$O$14)</f>
        <v>0.1669100805</v>
      </c>
      <c r="G12">
        <f>(C12&lt;Royalties!$O$15)*(C12-Royalties!$O$15)*Royalties!$O$16</f>
        <v>0</v>
      </c>
      <c r="H12" s="83">
        <f>MAX(Royalties!$O$13,MIN(Royalties!$O$14,F12+G12))</f>
        <v>0.1669100805</v>
      </c>
      <c r="I12" s="70">
        <f>$B$2+$B$3</f>
        <v>6000000</v>
      </c>
      <c r="J12" s="70">
        <f>C12*D12</f>
        <v>1081847.3099510607</v>
      </c>
      <c r="K12" s="70">
        <f>SUM(J$12:J12)</f>
        <v>1081847.3099510607</v>
      </c>
      <c r="L12" s="70">
        <f>M12/J12</f>
        <v>0.05</v>
      </c>
      <c r="M12" s="70">
        <f>MAX(0,J12-I12)*H12+MIN(I12,J12)*Royalties!$O$17</f>
        <v>54092.365497553037</v>
      </c>
      <c r="N12" s="70">
        <f t="shared" ref="N12:N75" si="1">J12-M12</f>
        <v>1027754.9444535077</v>
      </c>
      <c r="O12" s="70">
        <f>H12*J12-M12</f>
        <v>126478.85609508694</v>
      </c>
      <c r="Z12">
        <v>0</v>
      </c>
      <c r="AA12">
        <f t="dataTable" ref="AA12:AH22" dt2D="1" dtr="1" r1="B6" r2="B3"/>
        <v>288288.78962132218</v>
      </c>
      <c r="AB12">
        <v>461389.66440678691</v>
      </c>
      <c r="AC12">
        <v>816635.19934964832</v>
      </c>
      <c r="AD12">
        <v>1341093.2122955697</v>
      </c>
      <c r="AE12">
        <v>1937460.3817088786</v>
      </c>
      <c r="AF12">
        <v>2612638.3035978</v>
      </c>
      <c r="AG12">
        <v>3380320.3713249457</v>
      </c>
      <c r="AH12">
        <v>11374417.148811134</v>
      </c>
    </row>
    <row r="13" spans="1:34" x14ac:dyDescent="0.4">
      <c r="A13">
        <v>2</v>
      </c>
      <c r="B13" s="65">
        <f t="shared" si="0"/>
        <v>2</v>
      </c>
      <c r="C13" s="65">
        <f>VLOOKUP(B13,'Oil Production'!$A$13:$I$252,7,FALSE)</f>
        <v>16917.94578398997</v>
      </c>
      <c r="D13" s="70">
        <f t="shared" ref="D13:D76" si="2">D12*(1+$B$7)^(1/12)</f>
        <v>55.090836971605611</v>
      </c>
      <c r="E13" s="65">
        <f>D13*Royalties!$T$6</f>
        <v>346.51089729237469</v>
      </c>
      <c r="F13" s="65">
        <f>MIN((E13&lt;=Royalties!$N$10)*Royalties!$P$9+(E13&gt;=Royalties!$N$10)*(E13&lt;=Royalties!$N$11)*((E13-Royalties!$N$10)*Royalties!$O$10+Royalties!$P$10)+(E13&gt;=Royalties!$N$11)*(E13&lt;=Royalties!$N$12)*((E13-Royalties!$N$11)*Royalties!$O$11+Royalties!$P$11)+(E13&gt;Royalties!$N$12)*((E13-Royalties!$N$12)*Royalties!$O$12+Royalties!$P$12),Royalties!$O$14)</f>
        <v>0.16731573707758604</v>
      </c>
      <c r="G13" s="65">
        <f>(C13&lt;Royalties!$O$15)*(C13-Royalties!$O$15)*Royalties!$O$16</f>
        <v>0</v>
      </c>
      <c r="H13" s="83">
        <f>MAX(Royalties!$O$13,MIN(0.4,F13+G13))</f>
        <v>0.16731573707758604</v>
      </c>
      <c r="I13" s="70">
        <f>MAX(I12-J12,0)</f>
        <v>4918152.6900489395</v>
      </c>
      <c r="J13" s="70">
        <f t="shared" ref="J13:J76" si="3">C13*D13</f>
        <v>932023.79308025388</v>
      </c>
      <c r="K13" s="70">
        <f>SUM(J$12:J13)</f>
        <v>2013871.1030313144</v>
      </c>
      <c r="L13" s="70">
        <f t="shared" ref="L13:L76" si="4">M13/J13</f>
        <v>0.05</v>
      </c>
      <c r="M13" s="70">
        <f>MAX(0,J13-I13)*H13+MIN(I13,J13)*Royalties!$O$17</f>
        <v>46601.189654012698</v>
      </c>
      <c r="N13" s="70">
        <f t="shared" si="1"/>
        <v>885422.6034262412</v>
      </c>
      <c r="O13" s="70">
        <f t="shared" ref="O13:O76" si="5">H13*J13-M13</f>
        <v>109341.05825905752</v>
      </c>
      <c r="Z13">
        <f t="shared" ref="Z13:Z22" si="6">Z12+500000</f>
        <v>500000</v>
      </c>
      <c r="AA13">
        <v>288288.78962132218</v>
      </c>
      <c r="AB13">
        <v>429719.34576002881</v>
      </c>
      <c r="AC13">
        <v>766070.97676329012</v>
      </c>
      <c r="AD13">
        <v>1269149.2160264619</v>
      </c>
      <c r="AE13">
        <v>1849466.418515082</v>
      </c>
      <c r="AF13">
        <v>2512521.5878859218</v>
      </c>
      <c r="AG13">
        <v>3268032.3711282234</v>
      </c>
      <c r="AH13">
        <v>11199417.148811134</v>
      </c>
    </row>
    <row r="14" spans="1:34" x14ac:dyDescent="0.4">
      <c r="A14">
        <v>3</v>
      </c>
      <c r="B14" s="65">
        <f t="shared" si="0"/>
        <v>3</v>
      </c>
      <c r="C14" s="65">
        <f>VLOOKUP(B14,'Oil Production'!$A$13:$I$252,7,FALSE)</f>
        <v>13047.219470860109</v>
      </c>
      <c r="D14" s="70">
        <f t="shared" si="2"/>
        <v>55.181823967855053</v>
      </c>
      <c r="E14" s="65">
        <f>D14*Royalties!$T$6</f>
        <v>347.08318821125442</v>
      </c>
      <c r="F14" s="65">
        <f>MIN((E14&lt;=Royalties!$N$10)*Royalties!$P$9+(E14&gt;=Royalties!$N$10)*(E14&lt;=Royalties!$N$11)*((E14-Royalties!$N$10)*Royalties!$O$10+Royalties!$P$10)+(E14&gt;=Royalties!$N$11)*(E14&lt;=Royalties!$N$12)*((E14-Royalties!$N$11)*Royalties!$O$11+Royalties!$P$11)+(E14&gt;Royalties!$N$12)*((E14-Royalties!$N$12)*Royalties!$O$12+Royalties!$P$12),Royalties!$O$14)</f>
        <v>0.16772206362999065</v>
      </c>
      <c r="G14" s="65">
        <f>(C14&lt;Royalties!$O$15)*(C14-Royalties!$O$15)*Royalties!$O$16</f>
        <v>0</v>
      </c>
      <c r="H14" s="83">
        <f>MAX(Royalties!$O$13,MIN(0.4,F14+G14))</f>
        <v>0.16772206362999065</v>
      </c>
      <c r="I14" s="70">
        <f t="shared" ref="I14:I77" si="7">MAX(I13-J13,0)</f>
        <v>3986128.8969686856</v>
      </c>
      <c r="J14" s="70">
        <f t="shared" si="3"/>
        <v>719969.3681109735</v>
      </c>
      <c r="K14" s="70">
        <f>SUM(J$12:J14)</f>
        <v>2733840.4711422878</v>
      </c>
      <c r="L14" s="70">
        <f t="shared" si="4"/>
        <v>0.05</v>
      </c>
      <c r="M14" s="70">
        <f>MAX(0,J14-I14)*H14+MIN(I14,J14)*Royalties!$O$17</f>
        <v>35998.46840554868</v>
      </c>
      <c r="N14" s="70">
        <f t="shared" si="1"/>
        <v>683970.89970542479</v>
      </c>
      <c r="O14" s="70">
        <f t="shared" si="5"/>
        <v>84756.279764404171</v>
      </c>
      <c r="Z14" s="65">
        <f t="shared" si="6"/>
        <v>1000000</v>
      </c>
      <c r="AA14">
        <v>288288.78962132218</v>
      </c>
      <c r="AB14">
        <v>393688.30902065214</v>
      </c>
      <c r="AC14">
        <v>714499.1636690353</v>
      </c>
      <c r="AD14">
        <v>1196660.2091413301</v>
      </c>
      <c r="AE14">
        <v>1761291.9054579688</v>
      </c>
      <c r="AF14">
        <v>2412256.9881720161</v>
      </c>
      <c r="AG14">
        <v>3155639.4576484542</v>
      </c>
      <c r="AH14">
        <v>11024417.148811132</v>
      </c>
    </row>
    <row r="15" spans="1:34" x14ac:dyDescent="0.4">
      <c r="A15">
        <v>4</v>
      </c>
      <c r="B15" s="65">
        <f t="shared" si="0"/>
        <v>4</v>
      </c>
      <c r="C15" s="65">
        <f>VLOOKUP(B15,'Oil Production'!$A$13:$I$252,7,FALSE)</f>
        <v>11045.664704081908</v>
      </c>
      <c r="D15" s="70">
        <f t="shared" si="2"/>
        <v>55.272961236526214</v>
      </c>
      <c r="E15" s="65">
        <f>D15*Royalties!$T$6</f>
        <v>347.65642431511498</v>
      </c>
      <c r="F15" s="65">
        <f>MIN((E15&lt;=Royalties!$N$10)*Royalties!$P$9+(E15&gt;=Royalties!$N$10)*(E15&lt;=Royalties!$N$11)*((E15-Royalties!$N$10)*Royalties!$O$10+Royalties!$P$10)+(E15&gt;=Royalties!$N$11)*(E15&lt;=Royalties!$N$12)*((E15-Royalties!$N$11)*Royalties!$O$11+Royalties!$P$11)+(E15&gt;Royalties!$N$12)*((E15-Royalties!$N$12)*Royalties!$O$12+Royalties!$P$12),Royalties!$O$14)</f>
        <v>0.16812906126373164</v>
      </c>
      <c r="G15" s="65">
        <f>(C15&lt;Royalties!$O$15)*(C15-Royalties!$O$15)*Royalties!$O$16</f>
        <v>0</v>
      </c>
      <c r="H15" s="83">
        <f>MAX(Royalties!$O$13,MIN(0.4,F15+G15))</f>
        <v>0.16812906126373164</v>
      </c>
      <c r="I15" s="70">
        <f t="shared" si="7"/>
        <v>3266159.5288577122</v>
      </c>
      <c r="J15" s="70">
        <f t="shared" si="3"/>
        <v>610526.59702038509</v>
      </c>
      <c r="K15" s="70">
        <f>SUM(J$12:J15)</f>
        <v>3344367.0681626732</v>
      </c>
      <c r="L15" s="70">
        <f t="shared" si="4"/>
        <v>0.05</v>
      </c>
      <c r="M15" s="70">
        <f>MAX(0,J15-I15)*H15+MIN(I15,J15)*Royalties!$O$17</f>
        <v>30526.329851019254</v>
      </c>
      <c r="N15" s="70">
        <f t="shared" si="1"/>
        <v>580000.26716936589</v>
      </c>
      <c r="O15" s="70">
        <f t="shared" si="5"/>
        <v>72120.93378255867</v>
      </c>
      <c r="Z15" s="65">
        <f t="shared" si="6"/>
        <v>1500000</v>
      </c>
      <c r="AA15">
        <v>288288.78962132218</v>
      </c>
      <c r="AB15">
        <v>384385.05282842944</v>
      </c>
      <c r="AC15">
        <v>661465.2169564357</v>
      </c>
      <c r="AD15">
        <v>1123521.5154818224</v>
      </c>
      <c r="AE15">
        <v>1672869.0686206217</v>
      </c>
      <c r="AF15">
        <v>2311816.8388816975</v>
      </c>
      <c r="AG15">
        <v>3043063.7952890433</v>
      </c>
      <c r="AH15">
        <v>10849417.148811134</v>
      </c>
    </row>
    <row r="16" spans="1:34" x14ac:dyDescent="0.4">
      <c r="A16">
        <v>5</v>
      </c>
      <c r="B16" s="65">
        <f t="shared" si="0"/>
        <v>5</v>
      </c>
      <c r="C16" s="65">
        <f>VLOOKUP(B16,'Oil Production'!$A$13:$I$252,7,FALSE)</f>
        <v>8944.2368847149264</v>
      </c>
      <c r="D16" s="70">
        <f t="shared" si="2"/>
        <v>55.364249025806224</v>
      </c>
      <c r="E16" s="65">
        <f>D16*Royalties!$T$6</f>
        <v>348.23060716500623</v>
      </c>
      <c r="F16" s="65">
        <f>MIN((E16&lt;=Royalties!$N$10)*Royalties!$P$9+(E16&gt;=Royalties!$N$10)*(E16&lt;=Royalties!$N$11)*((E16-Royalties!$N$10)*Royalties!$O$10+Royalties!$P$10)+(E16&gt;=Royalties!$N$11)*(E16&lt;=Royalties!$N$12)*((E16-Royalties!$N$11)*Royalties!$O$11+Royalties!$P$11)+(E16&gt;Royalties!$N$12)*((E16-Royalties!$N$12)*Royalties!$O$12+Royalties!$P$12),Royalties!$O$14)</f>
        <v>0.16853673108715445</v>
      </c>
      <c r="G16" s="65">
        <f>(C16&lt;Royalties!$O$15)*(C16-Royalties!$O$15)*Royalties!$O$16</f>
        <v>0</v>
      </c>
      <c r="H16" s="83">
        <f>MAX(Royalties!$O$13,MIN(0.4,F16+G16))</f>
        <v>0.16853673108715445</v>
      </c>
      <c r="I16" s="70">
        <f t="shared" si="7"/>
        <v>2655632.9318373268</v>
      </c>
      <c r="J16" s="70">
        <f t="shared" si="3"/>
        <v>495190.95823115844</v>
      </c>
      <c r="K16" s="70">
        <f>SUM(J$12:J16)</f>
        <v>3839558.0263938317</v>
      </c>
      <c r="L16" s="70">
        <f t="shared" si="4"/>
        <v>0.05</v>
      </c>
      <c r="M16" s="70">
        <f>MAX(0,J16-I16)*H16+MIN(I16,J16)*Royalties!$O$17</f>
        <v>24759.547911557922</v>
      </c>
      <c r="N16" s="70">
        <f t="shared" si="1"/>
        <v>470431.41031960049</v>
      </c>
      <c r="O16" s="70">
        <f t="shared" si="5"/>
        <v>58698.317452637159</v>
      </c>
      <c r="Z16" s="65">
        <f t="shared" si="6"/>
        <v>2000000</v>
      </c>
      <c r="AA16">
        <v>288288.78962132218</v>
      </c>
      <c r="AB16">
        <v>384385.05282842944</v>
      </c>
      <c r="AC16">
        <v>606188.47955298529</v>
      </c>
      <c r="AD16">
        <v>1049523.9439131978</v>
      </c>
      <c r="AE16">
        <v>1584173.9623873173</v>
      </c>
      <c r="AF16">
        <v>2211187.7087058425</v>
      </c>
      <c r="AG16">
        <v>2930345.7735538972</v>
      </c>
      <c r="AH16">
        <v>10674417.148811132</v>
      </c>
    </row>
    <row r="17" spans="1:34" x14ac:dyDescent="0.4">
      <c r="A17">
        <v>6</v>
      </c>
      <c r="B17" s="65">
        <f t="shared" si="0"/>
        <v>6</v>
      </c>
      <c r="C17" s="65">
        <f>VLOOKUP(B17,'Oil Production'!$A$13:$I$252,7,FALSE)</f>
        <v>7869.9881894641876</v>
      </c>
      <c r="D17" s="70">
        <f t="shared" si="2"/>
        <v>55.4556875842921</v>
      </c>
      <c r="E17" s="65">
        <f>D17*Royalties!$T$6</f>
        <v>348.80573832455627</v>
      </c>
      <c r="F17" s="65">
        <f>MIN((E17&lt;=Royalties!$N$10)*Royalties!$P$9+(E17&gt;=Royalties!$N$10)*(E17&lt;=Royalties!$N$11)*((E17-Royalties!$N$10)*Royalties!$O$10+Royalties!$P$10)+(E17&gt;=Royalties!$N$11)*(E17&lt;=Royalties!$N$12)*((E17-Royalties!$N$11)*Royalties!$O$11+Royalties!$P$11)+(E17&gt;Royalties!$N$12)*((E17-Royalties!$N$12)*Royalties!$O$12+Royalties!$P$12),Royalties!$O$14)</f>
        <v>0.16894507421043498</v>
      </c>
      <c r="G17" s="65">
        <f>(C17&lt;Royalties!$O$15)*(C17-Royalties!$O$15)*Royalties!$O$16</f>
        <v>0</v>
      </c>
      <c r="H17" s="83">
        <f>MAX(Royalties!$O$13,MIN(0.4,F17+G17))</f>
        <v>0.16894507421043498</v>
      </c>
      <c r="I17" s="70">
        <f t="shared" si="7"/>
        <v>2160441.9736061683</v>
      </c>
      <c r="J17" s="70">
        <f t="shared" si="3"/>
        <v>436435.6063269946</v>
      </c>
      <c r="K17" s="70">
        <f>SUM(J$12:J17)</f>
        <v>4275993.6327208262</v>
      </c>
      <c r="L17" s="70">
        <f t="shared" si="4"/>
        <v>0.05</v>
      </c>
      <c r="M17" s="70">
        <f>MAX(0,J17-I17)*H17+MIN(I17,J17)*Royalties!$O$17</f>
        <v>21821.78031634973</v>
      </c>
      <c r="N17" s="70">
        <f t="shared" si="1"/>
        <v>414613.8260106449</v>
      </c>
      <c r="O17" s="70">
        <f t="shared" si="5"/>
        <v>51911.865582640559</v>
      </c>
      <c r="Z17" s="65">
        <f t="shared" si="6"/>
        <v>2500000</v>
      </c>
      <c r="AA17">
        <v>288288.78962132218</v>
      </c>
      <c r="AB17">
        <v>384385.05282842944</v>
      </c>
      <c r="AC17">
        <v>547200.25220688269</v>
      </c>
      <c r="AD17">
        <v>974397.82134843944</v>
      </c>
      <c r="AE17">
        <v>1495130.0315785904</v>
      </c>
      <c r="AF17">
        <v>2110304.7286147545</v>
      </c>
      <c r="AG17">
        <v>2817451.5653284201</v>
      </c>
      <c r="AH17">
        <v>10499417.148811132</v>
      </c>
    </row>
    <row r="18" spans="1:34" x14ac:dyDescent="0.4">
      <c r="A18">
        <v>7</v>
      </c>
      <c r="B18" s="65">
        <f t="shared" si="0"/>
        <v>7</v>
      </c>
      <c r="C18" s="65">
        <f>VLOOKUP(B18,'Oil Production'!$A$13:$I$252,7,FALSE)</f>
        <v>6780.7253655592067</v>
      </c>
      <c r="D18" s="70">
        <f t="shared" si="2"/>
        <v>55.547277160991449</v>
      </c>
      <c r="E18" s="65">
        <f>D18*Royalties!$T$6</f>
        <v>349.38181935997562</v>
      </c>
      <c r="F18" s="65">
        <f>MIN((E18&lt;=Royalties!$N$10)*Royalties!$P$9+(E18&gt;=Royalties!$N$10)*(E18&lt;=Royalties!$N$11)*((E18-Royalties!$N$10)*Royalties!$O$10+Royalties!$P$10)+(E18&gt;=Royalties!$N$11)*(E18&lt;=Royalties!$N$12)*((E18-Royalties!$N$11)*Royalties!$O$11+Royalties!$P$11)+(E18&gt;Royalties!$N$12)*((E18-Royalties!$N$12)*Royalties!$O$12+Royalties!$P$12),Royalties!$O$14)</f>
        <v>0.16935409174558269</v>
      </c>
      <c r="G18" s="65">
        <f>(C18&lt;Royalties!$O$15)*(C18-Royalties!$O$15)*Royalties!$O$16</f>
        <v>0</v>
      </c>
      <c r="H18" s="83">
        <f>MAX(Royalties!$O$13,MIN(0.4,F18+G18))</f>
        <v>0.16935409174558269</v>
      </c>
      <c r="I18" s="70">
        <f t="shared" si="7"/>
        <v>1724006.3672791738</v>
      </c>
      <c r="J18" s="70">
        <f t="shared" si="3"/>
        <v>376650.83123328234</v>
      </c>
      <c r="K18" s="70">
        <f>SUM(J$12:J18)</f>
        <v>4652644.4639541088</v>
      </c>
      <c r="L18" s="70">
        <f t="shared" si="4"/>
        <v>0.05</v>
      </c>
      <c r="M18" s="70">
        <f>MAX(0,J18-I18)*H18+MIN(I18,J18)*Royalties!$O$17</f>
        <v>18832.541561664118</v>
      </c>
      <c r="N18" s="70">
        <f t="shared" si="1"/>
        <v>357818.2896716182</v>
      </c>
      <c r="O18" s="70">
        <f t="shared" si="5"/>
        <v>44954.817867067162</v>
      </c>
      <c r="Z18" s="65">
        <f t="shared" si="6"/>
        <v>3000000</v>
      </c>
      <c r="AA18">
        <v>288288.78962132218</v>
      </c>
      <c r="AB18">
        <v>384385.05282842944</v>
      </c>
      <c r="AC18">
        <v>490814.52569012943</v>
      </c>
      <c r="AD18">
        <v>897715.73296432768</v>
      </c>
      <c r="AE18">
        <v>1405672.2896194307</v>
      </c>
      <c r="AF18">
        <v>2009160.5083196945</v>
      </c>
      <c r="AG18">
        <v>2704364.2856490375</v>
      </c>
      <c r="AH18">
        <v>10324417.14881113</v>
      </c>
    </row>
    <row r="19" spans="1:34" x14ac:dyDescent="0.4">
      <c r="A19">
        <v>8</v>
      </c>
      <c r="B19" s="65">
        <f t="shared" si="0"/>
        <v>8</v>
      </c>
      <c r="C19" s="65">
        <f>VLOOKUP(B19,'Oil Production'!$A$13:$I$252,7,FALSE)</f>
        <v>5735.1592144559982</v>
      </c>
      <c r="D19" s="70">
        <f t="shared" si="2"/>
        <v>55.639018005323123</v>
      </c>
      <c r="E19" s="65">
        <f>D19*Royalties!$T$6</f>
        <v>349.95885184006141</v>
      </c>
      <c r="F19" s="65">
        <f>MIN((E19&lt;=Royalties!$N$10)*Royalties!$P$9+(E19&gt;=Royalties!$N$10)*(E19&lt;=Royalties!$N$11)*((E19-Royalties!$N$10)*Royalties!$O$10+Royalties!$P$10)+(E19&gt;=Royalties!$N$11)*(E19&lt;=Royalties!$N$12)*((E19-Royalties!$N$11)*Royalties!$O$11+Royalties!$P$11)+(E19&gt;Royalties!$N$12)*((E19-Royalties!$N$12)*Royalties!$O$12+Royalties!$P$12),Royalties!$O$14)</f>
        <v>0.16976378480644361</v>
      </c>
      <c r="G19" s="65">
        <f>(C19&lt;Royalties!$O$15)*(C19-Royalties!$O$15)*Royalties!$O$16</f>
        <v>0</v>
      </c>
      <c r="H19" s="83">
        <f>MAX(Royalties!$O$13,MIN(0.4,F19+G19))</f>
        <v>0.16976378480644361</v>
      </c>
      <c r="I19" s="70">
        <f t="shared" si="7"/>
        <v>1347355.5360458915</v>
      </c>
      <c r="J19" s="70">
        <f t="shared" si="3"/>
        <v>319098.62679651211</v>
      </c>
      <c r="K19" s="70">
        <f>SUM(J$12:J19)</f>
        <v>4971743.0907506207</v>
      </c>
      <c r="L19" s="70">
        <f t="shared" si="4"/>
        <v>0.05</v>
      </c>
      <c r="M19" s="70">
        <f>MAX(0,J19-I19)*H19+MIN(I19,J19)*Royalties!$O$17</f>
        <v>15954.931339825605</v>
      </c>
      <c r="N19" s="70">
        <f t="shared" si="1"/>
        <v>303143.69545668649</v>
      </c>
      <c r="O19" s="70">
        <f t="shared" si="5"/>
        <v>38216.459271689135</v>
      </c>
      <c r="Z19" s="65">
        <f t="shared" si="6"/>
        <v>3500000</v>
      </c>
      <c r="AA19">
        <v>288288.78962132218</v>
      </c>
      <c r="AB19">
        <v>384385.05282842944</v>
      </c>
      <c r="AC19">
        <v>480481.31603553722</v>
      </c>
      <c r="AD19">
        <v>818807.83686816634</v>
      </c>
      <c r="AE19">
        <v>1315689.5103095248</v>
      </c>
      <c r="AF19">
        <v>1907684.4808879257</v>
      </c>
      <c r="AG19">
        <v>2591025.1170921051</v>
      </c>
      <c r="AH19">
        <v>10149417.148811132</v>
      </c>
    </row>
    <row r="20" spans="1:34" x14ac:dyDescent="0.4">
      <c r="A20">
        <v>9</v>
      </c>
      <c r="B20" s="65">
        <f t="shared" si="0"/>
        <v>9</v>
      </c>
      <c r="C20" s="65">
        <f>VLOOKUP(B20,'Oil Production'!$A$13:$I$252,7,FALSE)</f>
        <v>5232.8131212120643</v>
      </c>
      <c r="D20" s="70">
        <f t="shared" si="2"/>
        <v>55.730910367117914</v>
      </c>
      <c r="E20" s="65">
        <f>D20*Royalties!$T$6</f>
        <v>350.53683733620193</v>
      </c>
      <c r="F20" s="65">
        <f>MIN((E20&lt;=Royalties!$N$10)*Royalties!$P$9+(E20&gt;=Royalties!$N$10)*(E20&lt;=Royalties!$N$11)*((E20-Royalties!$N$10)*Royalties!$O$10+Royalties!$P$10)+(E20&gt;=Royalties!$N$11)*(E20&lt;=Royalties!$N$12)*((E20-Royalties!$N$11)*Royalties!$O$11+Royalties!$P$11)+(E20&gt;Royalties!$N$12)*((E20-Royalties!$N$12)*Royalties!$O$12+Royalties!$P$12),Royalties!$O$14)</f>
        <v>0.17017415450870338</v>
      </c>
      <c r="G20" s="65">
        <f>(C20&lt;Royalties!$O$15)*(C20-Royalties!$O$15)*Royalties!$O$16</f>
        <v>0</v>
      </c>
      <c r="H20" s="83">
        <f>MAX(Royalties!$O$13,MIN(0.4,F20+G20))</f>
        <v>0.17017415450870338</v>
      </c>
      <c r="I20" s="70">
        <f t="shared" si="7"/>
        <v>1028256.9092493793</v>
      </c>
      <c r="J20" s="70">
        <f t="shared" si="3"/>
        <v>291629.43902614806</v>
      </c>
      <c r="K20" s="70">
        <f>SUM(J$12:J20)</f>
        <v>5263372.5297767688</v>
      </c>
      <c r="L20" s="70">
        <f t="shared" si="4"/>
        <v>0.05</v>
      </c>
      <c r="M20" s="70">
        <f>MAX(0,J20-I20)*H20+MIN(I20,J20)*Royalties!$O$17</f>
        <v>14581.471951307403</v>
      </c>
      <c r="N20" s="70">
        <f t="shared" si="1"/>
        <v>277047.96707484068</v>
      </c>
      <c r="O20" s="70">
        <f t="shared" si="5"/>
        <v>35046.321264814811</v>
      </c>
      <c r="Z20" s="65">
        <f t="shared" si="6"/>
        <v>4000000</v>
      </c>
      <c r="AA20">
        <v>288288.78962132218</v>
      </c>
      <c r="AB20">
        <v>384385.05282842944</v>
      </c>
      <c r="AC20">
        <v>480481.31603553722</v>
      </c>
      <c r="AD20">
        <v>737196.71958030167</v>
      </c>
      <c r="AE20">
        <v>1225030.5351286735</v>
      </c>
      <c r="AF20">
        <v>1805830.3653384265</v>
      </c>
      <c r="AG20">
        <v>2477434.0777125829</v>
      </c>
      <c r="AH20">
        <v>9974417.1488111299</v>
      </c>
    </row>
    <row r="21" spans="1:34" x14ac:dyDescent="0.4">
      <c r="A21">
        <v>10</v>
      </c>
      <c r="B21" s="65">
        <f t="shared" si="0"/>
        <v>10</v>
      </c>
      <c r="C21" s="65">
        <f>VLOOKUP(B21,'Oil Production'!$A$13:$I$252,7,FALSE)</f>
        <v>4509.7689716088789</v>
      </c>
      <c r="D21" s="70">
        <f t="shared" si="2"/>
        <v>55.822954496619239</v>
      </c>
      <c r="E21" s="65">
        <f>D21*Royalties!$T$6</f>
        <v>351.11577742238069</v>
      </c>
      <c r="F21" s="65">
        <f>MIN((E21&lt;=Royalties!$N$10)*Royalties!$P$9+(E21&gt;=Royalties!$N$10)*(E21&lt;=Royalties!$N$11)*((E21-Royalties!$N$10)*Royalties!$O$10+Royalties!$P$10)+(E21&gt;=Royalties!$N$11)*(E21&lt;=Royalties!$N$12)*((E21-Royalties!$N$11)*Royalties!$O$11+Royalties!$P$11)+(E21&gt;Royalties!$N$12)*((E21-Royalties!$N$12)*Royalties!$O$12+Royalties!$P$12),Royalties!$O$14)</f>
        <v>0.1705852019698903</v>
      </c>
      <c r="G21" s="65">
        <f>(C21&lt;Royalties!$O$15)*(C21-Royalties!$O$15)*Royalties!$O$16</f>
        <v>0</v>
      </c>
      <c r="H21" s="83">
        <f>MAX(Royalties!$O$13,MIN(0.4,F21+G21))</f>
        <v>0.1705852019698903</v>
      </c>
      <c r="I21" s="70">
        <f t="shared" si="7"/>
        <v>736627.47022323124</v>
      </c>
      <c r="J21" s="70">
        <f t="shared" si="3"/>
        <v>251748.62809238778</v>
      </c>
      <c r="K21" s="70">
        <f>SUM(J$12:J21)</f>
        <v>5515121.1578691565</v>
      </c>
      <c r="L21" s="70">
        <f t="shared" si="4"/>
        <v>0.05</v>
      </c>
      <c r="M21" s="70">
        <f>MAX(0,J21-I21)*H21+MIN(I21,J21)*Royalties!$O$17</f>
        <v>12587.43140461939</v>
      </c>
      <c r="N21" s="70">
        <f t="shared" si="1"/>
        <v>239161.19668776839</v>
      </c>
      <c r="O21" s="70">
        <f t="shared" si="5"/>
        <v>30357.159164163379</v>
      </c>
      <c r="Z21" s="65">
        <f t="shared" si="6"/>
        <v>4500000</v>
      </c>
      <c r="AA21">
        <v>288288.78962132218</v>
      </c>
      <c r="AB21">
        <v>384385.05282842944</v>
      </c>
      <c r="AC21">
        <v>480481.31603553722</v>
      </c>
      <c r="AD21">
        <v>652592.09467956831</v>
      </c>
      <c r="AE21">
        <v>1133477.5254884835</v>
      </c>
      <c r="AF21">
        <v>1703505.8954291411</v>
      </c>
      <c r="AG21">
        <v>2363513.0240041832</v>
      </c>
      <c r="AH21">
        <v>9799417.148811128</v>
      </c>
    </row>
    <row r="22" spans="1:34" x14ac:dyDescent="0.4">
      <c r="A22">
        <v>11</v>
      </c>
      <c r="B22" s="65">
        <f t="shared" si="0"/>
        <v>11</v>
      </c>
      <c r="C22" s="65">
        <f>VLOOKUP(B22,'Oil Production'!$A$13:$I$252,7,FALSE)</f>
        <v>4181.9276408862061</v>
      </c>
      <c r="D22" s="70">
        <f t="shared" si="2"/>
        <v>55.915150644483802</v>
      </c>
      <c r="E22" s="65">
        <f>D22*Royalties!$T$6</f>
        <v>351.69567367518067</v>
      </c>
      <c r="F22" s="65">
        <f>MIN((E22&lt;=Royalties!$N$10)*Royalties!$P$9+(E22&gt;=Royalties!$N$10)*(E22&lt;=Royalties!$N$11)*((E22-Royalties!$N$10)*Royalties!$O$10+Royalties!$P$10)+(E22&gt;=Royalties!$N$11)*(E22&lt;=Royalties!$N$12)*((E22-Royalties!$N$11)*Royalties!$O$11+Royalties!$P$11)+(E22&gt;Royalties!$N$12)*((E22-Royalties!$N$12)*Royalties!$O$12+Royalties!$P$12),Royalties!$O$14)</f>
        <v>0.17099692830937829</v>
      </c>
      <c r="G22" s="65">
        <f>(C22&lt;Royalties!$O$15)*(C22-Royalties!$O$15)*Royalties!$O$16</f>
        <v>0</v>
      </c>
      <c r="H22" s="83">
        <f>MAX(Royalties!$O$13,MIN(0.4,F22+G22))</f>
        <v>0.17099692830937829</v>
      </c>
      <c r="I22" s="70">
        <f t="shared" si="7"/>
        <v>484878.84213084343</v>
      </c>
      <c r="J22" s="70">
        <f t="shared" si="3"/>
        <v>233833.11402448296</v>
      </c>
      <c r="K22" s="70">
        <f>SUM(J$12:J22)</f>
        <v>5748954.2718936391</v>
      </c>
      <c r="L22" s="70">
        <f t="shared" si="4"/>
        <v>0.05</v>
      </c>
      <c r="M22" s="70">
        <f>MAX(0,J22-I22)*H22+MIN(I22,J22)*Royalties!$O$17</f>
        <v>11691.655701224148</v>
      </c>
      <c r="N22" s="70">
        <f t="shared" si="1"/>
        <v>222141.45832325882</v>
      </c>
      <c r="O22" s="70">
        <f t="shared" si="5"/>
        <v>28293.088533979047</v>
      </c>
      <c r="Z22" s="65">
        <f t="shared" si="6"/>
        <v>5000000</v>
      </c>
      <c r="AA22">
        <v>288288.78962132218</v>
      </c>
      <c r="AB22">
        <v>384385.05282842944</v>
      </c>
      <c r="AC22">
        <v>480481.31603553722</v>
      </c>
      <c r="AD22">
        <v>594401.8278909662</v>
      </c>
      <c r="AE22">
        <v>1040705.9720769669</v>
      </c>
      <c r="AF22">
        <v>1600603.4169826829</v>
      </c>
      <c r="AG22">
        <v>2249237.6113170665</v>
      </c>
      <c r="AH22">
        <v>9624417.1488111261</v>
      </c>
    </row>
    <row r="23" spans="1:34" x14ac:dyDescent="0.4">
      <c r="A23">
        <v>12</v>
      </c>
      <c r="B23" s="65">
        <f t="shared" si="0"/>
        <v>12</v>
      </c>
      <c r="C23" s="65">
        <f>VLOOKUP(B23,'Oil Production'!$A$13:$I$252,7,FALSE)</f>
        <v>3771.4343858476932</v>
      </c>
      <c r="D23" s="70">
        <f t="shared" si="2"/>
        <v>56.007499061782283</v>
      </c>
      <c r="E23" s="65">
        <f>D23*Royalties!$T$6</f>
        <v>352.27652767378885</v>
      </c>
      <c r="F23" s="65">
        <f>MIN((E23&lt;=Royalties!$N$10)*Royalties!$P$9+(E23&gt;=Royalties!$N$10)*(E23&lt;=Royalties!$N$11)*((E23-Royalties!$N$10)*Royalties!$O$10+Royalties!$P$10)+(E23&gt;=Royalties!$N$11)*(E23&lt;=Royalties!$N$12)*((E23-Royalties!$N$11)*Royalties!$O$11+Royalties!$P$11)+(E23&gt;Royalties!$N$12)*((E23-Royalties!$N$12)*Royalties!$O$12+Royalties!$P$12),Royalties!$O$14)</f>
        <v>0.17140933464839009</v>
      </c>
      <c r="G23" s="65">
        <f>(C23&lt;Royalties!$O$15)*(C23-Royalties!$O$15)*Royalties!$O$16</f>
        <v>0</v>
      </c>
      <c r="H23" s="83">
        <f>MAX(Royalties!$O$13,MIN(0.4,F23+G23))</f>
        <v>0.17140933464839009</v>
      </c>
      <c r="I23" s="70">
        <f t="shared" si="7"/>
        <v>251045.72810636048</v>
      </c>
      <c r="J23" s="70">
        <f t="shared" si="3"/>
        <v>211228.60782693813</v>
      </c>
      <c r="K23" s="70">
        <f>SUM(J$12:J23)</f>
        <v>5960182.879720577</v>
      </c>
      <c r="L23" s="70">
        <f t="shared" si="4"/>
        <v>0.05</v>
      </c>
      <c r="M23" s="70">
        <f>MAX(0,J23-I23)*H23+MIN(I23,J23)*Royalties!$O$17</f>
        <v>10561.430391346907</v>
      </c>
      <c r="N23" s="70">
        <f t="shared" si="1"/>
        <v>200667.17743559121</v>
      </c>
      <c r="O23" s="70">
        <f t="shared" si="5"/>
        <v>25645.124734974284</v>
      </c>
      <c r="P23" s="65"/>
    </row>
    <row r="24" spans="1:34" x14ac:dyDescent="0.4">
      <c r="A24">
        <v>13</v>
      </c>
      <c r="B24" s="65">
        <f t="shared" si="0"/>
        <v>13</v>
      </c>
      <c r="C24" s="65">
        <f>VLOOKUP(B24,'Oil Production'!$A$13:$I$252,7,FALSE)</f>
        <v>3104.5266433669749</v>
      </c>
      <c r="D24" s="70">
        <f t="shared" si="2"/>
        <v>56.100000000000037</v>
      </c>
      <c r="E24" s="65">
        <f>D24*Royalties!$T$6</f>
        <v>352.85834100000022</v>
      </c>
      <c r="F24" s="65">
        <f>MIN((E24&lt;=Royalties!$N$10)*Royalties!$P$9+(E24&gt;=Royalties!$N$10)*(E24&lt;=Royalties!$N$11)*((E24-Royalties!$N$10)*Royalties!$O$10+Royalties!$P$10)+(E24&gt;=Royalties!$N$11)*(E24&lt;=Royalties!$N$12)*((E24-Royalties!$N$11)*Royalties!$O$11+Royalties!$P$11)+(E24&gt;Royalties!$N$12)*((E24-Royalties!$N$12)*Royalties!$O$12+Royalties!$P$12),Royalties!$O$14)</f>
        <v>0.17182242211000018</v>
      </c>
      <c r="G24" s="65">
        <f>(C24&lt;Royalties!$O$15)*(C24-Royalties!$O$15)*Royalties!$O$16</f>
        <v>0</v>
      </c>
      <c r="H24" s="83">
        <f>MAX(Royalties!$O$13,MIN(0.4,F24+G24))</f>
        <v>0.17182242211000018</v>
      </c>
      <c r="I24" s="70">
        <f t="shared" si="7"/>
        <v>39817.12027942235</v>
      </c>
      <c r="J24" s="70">
        <f t="shared" si="3"/>
        <v>174163.94469288739</v>
      </c>
      <c r="K24" s="70">
        <f>SUM(J$12:J24)</f>
        <v>6134346.8244134644</v>
      </c>
      <c r="L24" s="70">
        <f t="shared" si="4"/>
        <v>0.1439715483689524</v>
      </c>
      <c r="M24" s="70">
        <f>MAX(0,J24-I24)*H24+MIN(I24,J24)*Royalties!$O$17</f>
        <v>25074.652787479587</v>
      </c>
      <c r="N24" s="70">
        <f t="shared" si="1"/>
        <v>149089.29190540779</v>
      </c>
      <c r="O24" s="70">
        <f t="shared" si="5"/>
        <v>4850.6180338844351</v>
      </c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34" ht="15" customHeight="1" x14ac:dyDescent="0.4">
      <c r="A25">
        <v>14</v>
      </c>
      <c r="B25" s="65">
        <f t="shared" si="0"/>
        <v>14</v>
      </c>
      <c r="C25" s="65">
        <f>VLOOKUP(B25,'Oil Production'!$A$13:$I$252,7,FALSE)</f>
        <v>3148.5490247574053</v>
      </c>
      <c r="D25" s="70">
        <f t="shared" si="2"/>
        <v>56.192653711037764</v>
      </c>
      <c r="E25" s="65">
        <f>D25*Royalties!$T$6</f>
        <v>353.44111523822244</v>
      </c>
      <c r="F25" s="65">
        <f>MIN((E25&lt;=Royalties!$N$10)*Royalties!$P$9+(E25&gt;=Royalties!$N$10)*(E25&lt;=Royalties!$N$11)*((E25-Royalties!$N$10)*Royalties!$O$10+Royalties!$P$10)+(E25&gt;=Royalties!$N$11)*(E25&lt;=Royalties!$N$12)*((E25-Royalties!$N$11)*Royalties!$O$11+Royalties!$P$11)+(E25&gt;Royalties!$N$12)*((E25-Royalties!$N$12)*Royalties!$O$12+Royalties!$P$12),Royalties!$O$14)</f>
        <v>0.17223619181913796</v>
      </c>
      <c r="G25" s="65">
        <f>(C25&lt;Royalties!$O$15)*(C25-Royalties!$O$15)*Royalties!$O$16</f>
        <v>0</v>
      </c>
      <c r="H25" s="83">
        <f>MAX(Royalties!$O$13,MIN(0.4,F25+G25))</f>
        <v>0.17223619181913796</v>
      </c>
      <c r="I25" s="70">
        <f t="shared" si="7"/>
        <v>0</v>
      </c>
      <c r="J25" s="70">
        <f t="shared" si="3"/>
        <v>176925.32504041854</v>
      </c>
      <c r="K25" s="70">
        <f>SUM(J$12:J25)</f>
        <v>6311272.1494538831</v>
      </c>
      <c r="L25" s="70">
        <f t="shared" si="4"/>
        <v>0.17223619181913796</v>
      </c>
      <c r="M25" s="70">
        <f>MAX(0,J25-I25)*H25+MIN(I25,J25)*Royalties!$O$17</f>
        <v>30472.944221324862</v>
      </c>
      <c r="N25" s="70">
        <f t="shared" si="1"/>
        <v>146452.38081909367</v>
      </c>
      <c r="O25" s="70">
        <f t="shared" si="5"/>
        <v>0</v>
      </c>
      <c r="Z25" s="81">
        <f>B5</f>
        <v>710670.89980695723</v>
      </c>
      <c r="AA25" s="69">
        <v>30</v>
      </c>
      <c r="AB25" s="69">
        <v>50</v>
      </c>
      <c r="AC25" s="69">
        <v>70</v>
      </c>
      <c r="AD25" s="69">
        <v>90</v>
      </c>
      <c r="AE25" s="69">
        <v>110</v>
      </c>
      <c r="AF25" s="69">
        <v>130</v>
      </c>
      <c r="AG25" s="69">
        <v>150</v>
      </c>
      <c r="AH25" s="69">
        <v>180</v>
      </c>
    </row>
    <row r="26" spans="1:34" ht="15" thickBot="1" x14ac:dyDescent="0.45">
      <c r="A26">
        <v>15</v>
      </c>
      <c r="B26" s="65">
        <f t="shared" si="0"/>
        <v>15</v>
      </c>
      <c r="C26" s="65">
        <f>VLOOKUP(B26,'Oil Production'!$A$13:$I$252,7,FALSE)</f>
        <v>2795.3342539984296</v>
      </c>
      <c r="D26" s="70">
        <f t="shared" si="2"/>
        <v>56.285460447212195</v>
      </c>
      <c r="E26" s="65">
        <f>D26*Royalties!$T$6</f>
        <v>354.02485197547975</v>
      </c>
      <c r="F26" s="65">
        <f>MIN((E26&lt;=Royalties!$N$10)*Royalties!$P$9+(E26&gt;=Royalties!$N$10)*(E26&lt;=Royalties!$N$11)*((E26-Royalties!$N$10)*Royalties!$O$10+Royalties!$P$10)+(E26&gt;=Royalties!$N$11)*(E26&lt;=Royalties!$N$12)*((E26-Royalties!$N$11)*Royalties!$O$11+Royalties!$P$11)+(E26&gt;Royalties!$N$12)*((E26-Royalties!$N$12)*Royalties!$O$12+Royalties!$P$12),Royalties!$O$14)</f>
        <v>0.17265064490259063</v>
      </c>
      <c r="G26" s="65">
        <f>(C26&lt;Royalties!$O$15)*(C26-Royalties!$O$15)*Royalties!$O$16</f>
        <v>0</v>
      </c>
      <c r="H26" s="83">
        <f>MAX(Royalties!$O$13,MIN(0.4,F26+G26))</f>
        <v>0.17265064490259063</v>
      </c>
      <c r="I26" s="70">
        <f t="shared" si="7"/>
        <v>0</v>
      </c>
      <c r="J26" s="70">
        <f t="shared" si="3"/>
        <v>157336.67559016601</v>
      </c>
      <c r="K26" s="70">
        <f>SUM(J$12:J26)</f>
        <v>6468608.825044049</v>
      </c>
      <c r="L26" s="70">
        <f t="shared" si="4"/>
        <v>0.17265064490259063</v>
      </c>
      <c r="M26" s="70">
        <f>MAX(0,J26-I26)*H26+MIN(I26,J26)*Royalties!$O$17</f>
        <v>27164.278507471852</v>
      </c>
      <c r="N26" s="70">
        <f t="shared" si="1"/>
        <v>130172.39708269415</v>
      </c>
      <c r="O26" s="90">
        <f t="shared" si="5"/>
        <v>0</v>
      </c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65">
        <v>0</v>
      </c>
      <c r="AA26" s="65">
        <f t="dataTable" ref="AA26:AH36" dt2D="1" dtr="1" r1="B6" r2="B3" ca="1"/>
        <v>265173.12418049981</v>
      </c>
      <c r="AB26" s="65">
        <v>577838.52546707774</v>
      </c>
      <c r="AC26" s="65">
        <v>1047365.3626646835</v>
      </c>
      <c r="AD26" s="65">
        <v>1341008.888858031</v>
      </c>
      <c r="AE26" s="65">
        <v>1634918.3496871765</v>
      </c>
      <c r="AF26" s="65">
        <v>1820507.7101387889</v>
      </c>
      <c r="AG26" s="65">
        <v>1971306.6199181115</v>
      </c>
      <c r="AH26" s="65">
        <v>2100000</v>
      </c>
    </row>
    <row r="27" spans="1:34" ht="15.45" thickTop="1" thickBot="1" x14ac:dyDescent="0.45">
      <c r="A27">
        <v>16</v>
      </c>
      <c r="B27" s="65">
        <f t="shared" si="0"/>
        <v>16</v>
      </c>
      <c r="C27" s="65">
        <f>VLOOKUP(B27,'Oil Production'!$A$13:$I$252,7,FALSE)</f>
        <v>2661.3731782145333</v>
      </c>
      <c r="D27" s="70">
        <f t="shared" si="2"/>
        <v>56.378420461256781</v>
      </c>
      <c r="E27" s="65">
        <f>D27*Royalties!$T$6</f>
        <v>354.60955280141752</v>
      </c>
      <c r="F27" s="65">
        <f>MIN((E27&lt;=Royalties!$N$10)*Royalties!$P$9+(E27&gt;=Royalties!$N$10)*(E27&lt;=Royalties!$N$11)*((E27-Royalties!$N$10)*Royalties!$O$10+Royalties!$P$10)+(E27&gt;=Royalties!$N$11)*(E27&lt;=Royalties!$N$12)*((E27-Royalties!$N$11)*Royalties!$O$11+Royalties!$P$11)+(E27&gt;Royalties!$N$12)*((E27-Royalties!$N$12)*Royalties!$O$12+Royalties!$P$12),Royalties!$O$14)</f>
        <v>0.17306578248900645</v>
      </c>
      <c r="G27" s="65">
        <f>(C27&lt;Royalties!$O$15)*(C27-Royalties!$O$15)*Royalties!$O$16</f>
        <v>0</v>
      </c>
      <c r="H27" s="83">
        <f>MAX(Royalties!$O$13,MIN(0.4,F27+G27))</f>
        <v>0.17306578248900645</v>
      </c>
      <c r="I27" s="70">
        <f t="shared" si="7"/>
        <v>0</v>
      </c>
      <c r="J27" s="70">
        <f t="shared" si="3"/>
        <v>150044.01604569022</v>
      </c>
      <c r="K27" s="70">
        <f>SUM(J$12:J27)</f>
        <v>6618652.8410897395</v>
      </c>
      <c r="L27" s="70">
        <f t="shared" si="4"/>
        <v>0.17306578248900645</v>
      </c>
      <c r="M27" s="70">
        <f>MAX(0,J27-I27)*H27+MIN(I27,J27)*Royalties!$O$17</f>
        <v>25967.485044740417</v>
      </c>
      <c r="N27" s="70">
        <f t="shared" si="1"/>
        <v>124076.53100094981</v>
      </c>
      <c r="O27" s="90">
        <f t="shared" si="5"/>
        <v>0</v>
      </c>
      <c r="P27" s="101"/>
      <c r="Q27" s="102"/>
      <c r="R27" s="109" t="s">
        <v>147</v>
      </c>
      <c r="S27" s="109"/>
      <c r="T27" s="109"/>
      <c r="U27" s="109"/>
      <c r="V27" s="109"/>
      <c r="W27" s="109"/>
      <c r="X27" s="109"/>
      <c r="Y27" s="109"/>
      <c r="Z27" s="65">
        <f t="shared" ref="Z27:Z36" si="8">Z26+500000</f>
        <v>500000</v>
      </c>
      <c r="AA27" s="65">
        <v>265173.12418049981</v>
      </c>
      <c r="AB27" s="65">
        <v>628402.74805343605</v>
      </c>
      <c r="AC27" s="65">
        <v>1135359.3258584801</v>
      </c>
      <c r="AD27" s="65">
        <v>1453296.8890547538</v>
      </c>
      <c r="AE27" s="65">
        <v>1771595.4551700715</v>
      </c>
      <c r="AF27" s="65">
        <v>1972391.9049397055</v>
      </c>
      <c r="AG27" s="65">
        <v>2135801.6712484537</v>
      </c>
      <c r="AH27" s="65">
        <v>2275000</v>
      </c>
    </row>
    <row r="28" spans="1:34" ht="15.45" thickTop="1" thickBot="1" x14ac:dyDescent="0.45">
      <c r="A28">
        <v>17</v>
      </c>
      <c r="B28" s="65">
        <f t="shared" si="0"/>
        <v>17</v>
      </c>
      <c r="C28" s="65">
        <f>VLOOKUP(B28,'Oil Production'!$A$13:$I$252,7,FALSE)</f>
        <v>2381.9948779631814</v>
      </c>
      <c r="D28" s="70">
        <f t="shared" si="2"/>
        <v>56.471534006322386</v>
      </c>
      <c r="E28" s="65">
        <f>D28*Royalties!$T$6</f>
        <v>355.1952193083066</v>
      </c>
      <c r="F28" s="65">
        <f>MIN((E28&lt;=Royalties!$N$10)*Royalties!$P$9+(E28&gt;=Royalties!$N$10)*(E28&lt;=Royalties!$N$11)*((E28-Royalties!$N$10)*Royalties!$O$10+Royalties!$P$10)+(E28&gt;=Royalties!$N$11)*(E28&lt;=Royalties!$N$12)*((E28-Royalties!$N$11)*Royalties!$O$11+Royalties!$P$11)+(E28&gt;Royalties!$N$12)*((E28-Royalties!$N$12)*Royalties!$O$12+Royalties!$P$12),Royalties!$O$14)</f>
        <v>0.1734816057088977</v>
      </c>
      <c r="G28" s="65">
        <f>(C28&lt;Royalties!$O$15)*(C28-Royalties!$O$15)*Royalties!$O$16</f>
        <v>0</v>
      </c>
      <c r="H28" s="83">
        <f>MAX(Royalties!$O$13,MIN(0.4,F28+G28))</f>
        <v>0.1734816057088977</v>
      </c>
      <c r="I28" s="70">
        <f t="shared" si="7"/>
        <v>0</v>
      </c>
      <c r="J28" s="70">
        <f t="shared" si="3"/>
        <v>134514.90475378354</v>
      </c>
      <c r="K28" s="70">
        <f>SUM(J$12:J28)</f>
        <v>6753167.7458435232</v>
      </c>
      <c r="L28" s="70">
        <f t="shared" si="4"/>
        <v>0.1734816057088977</v>
      </c>
      <c r="M28" s="70">
        <f>MAX(0,J28-I28)*H28+MIN(I28,J28)*Royalties!$O$17</f>
        <v>23335.861668465805</v>
      </c>
      <c r="N28" s="70">
        <f t="shared" si="1"/>
        <v>111179.04308531774</v>
      </c>
      <c r="O28" s="90">
        <f t="shared" si="5"/>
        <v>0</v>
      </c>
      <c r="P28" s="106" t="s">
        <v>148</v>
      </c>
      <c r="Q28" s="91"/>
      <c r="R28" s="88">
        <f>AA11</f>
        <v>30</v>
      </c>
      <c r="S28" s="88">
        <f t="shared" ref="S28:Y28" si="9">AB11</f>
        <v>40</v>
      </c>
      <c r="T28" s="88">
        <f t="shared" si="9"/>
        <v>50</v>
      </c>
      <c r="U28" s="88">
        <f t="shared" si="9"/>
        <v>60</v>
      </c>
      <c r="V28" s="88">
        <f t="shared" si="9"/>
        <v>70</v>
      </c>
      <c r="W28" s="88">
        <f t="shared" si="9"/>
        <v>80</v>
      </c>
      <c r="X28" s="88">
        <f t="shared" si="9"/>
        <v>90</v>
      </c>
      <c r="Y28" s="88">
        <f t="shared" si="9"/>
        <v>180</v>
      </c>
      <c r="Z28" s="65">
        <f t="shared" si="8"/>
        <v>1000000</v>
      </c>
      <c r="AA28" s="65">
        <v>265173.12418049981</v>
      </c>
      <c r="AB28" s="65">
        <v>679974.56114769098</v>
      </c>
      <c r="AC28" s="65">
        <v>1223533.8389155935</v>
      </c>
      <c r="AD28" s="65">
        <v>1565689.8025345232</v>
      </c>
      <c r="AE28" s="65">
        <v>1908411.9649990955</v>
      </c>
      <c r="AF28" s="65">
        <v>2124401.2415960054</v>
      </c>
      <c r="AG28" s="65">
        <v>2300296.7225787956</v>
      </c>
      <c r="AH28" s="65">
        <v>2450000.0000000005</v>
      </c>
    </row>
    <row r="29" spans="1:34" ht="15.45" thickTop="1" thickBot="1" x14ac:dyDescent="0.45">
      <c r="A29">
        <v>18</v>
      </c>
      <c r="B29" s="65">
        <f t="shared" si="0"/>
        <v>18</v>
      </c>
      <c r="C29" s="65">
        <f>VLOOKUP(B29,'Oil Production'!$A$13:$I$252,7,FALSE)</f>
        <v>2284.5340073169646</v>
      </c>
      <c r="D29" s="70">
        <f t="shared" si="2"/>
        <v>56.564801335977982</v>
      </c>
      <c r="E29" s="65">
        <f>D29*Royalties!$T$6</f>
        <v>355.78185309104771</v>
      </c>
      <c r="F29" s="65">
        <f>MIN((E29&lt;=Royalties!$N$10)*Royalties!$P$9+(E29&gt;=Royalties!$N$10)*(E29&lt;=Royalties!$N$11)*((E29-Royalties!$N$10)*Royalties!$O$10+Royalties!$P$10)+(E29&gt;=Royalties!$N$11)*(E29&lt;=Royalties!$N$12)*((E29-Royalties!$N$11)*Royalties!$O$11+Royalties!$P$11)+(E29&gt;Royalties!$N$12)*((E29-Royalties!$N$12)*Royalties!$O$12+Royalties!$P$12),Royalties!$O$14)</f>
        <v>0.17389811569464389</v>
      </c>
      <c r="G29" s="65">
        <f>(C29&lt;Royalties!$O$15)*(C29-Royalties!$O$15)*Royalties!$O$16</f>
        <v>0</v>
      </c>
      <c r="H29" s="83">
        <f>MAX(Royalties!$O$13,MIN(0.4,F29+G29))</f>
        <v>0.17389811569464389</v>
      </c>
      <c r="I29" s="70">
        <f t="shared" si="7"/>
        <v>0</v>
      </c>
      <c r="J29" s="70">
        <f t="shared" si="3"/>
        <v>129224.21226916977</v>
      </c>
      <c r="K29" s="70">
        <f>SUM(J$12:J29)</f>
        <v>6882391.9581126934</v>
      </c>
      <c r="L29" s="70">
        <f t="shared" si="4"/>
        <v>0.17389811569464389</v>
      </c>
      <c r="M29" s="70">
        <f>MAX(0,J29-I29)*H29+MIN(I29,J29)*Royalties!$O$17</f>
        <v>22471.847015733307</v>
      </c>
      <c r="N29" s="70">
        <f t="shared" si="1"/>
        <v>106752.36525343647</v>
      </c>
      <c r="O29" s="90">
        <f t="shared" si="5"/>
        <v>0</v>
      </c>
      <c r="P29" s="107"/>
      <c r="Q29" s="92">
        <f t="shared" ref="Q29:Q38" si="10">Z13/10^6</f>
        <v>0.5</v>
      </c>
      <c r="R29" s="89">
        <f>(-AA13+AA$12)/$Z13</f>
        <v>0</v>
      </c>
      <c r="S29" s="89">
        <f t="shared" ref="S29:Y29" si="11">(-AB13+AB$12)/$Z13</f>
        <v>6.3340637293516189E-2</v>
      </c>
      <c r="T29" s="89">
        <f t="shared" si="11"/>
        <v>0.10112844517271639</v>
      </c>
      <c r="U29" s="89">
        <f t="shared" si="11"/>
        <v>0.1438879925382156</v>
      </c>
      <c r="V29" s="89">
        <f t="shared" si="11"/>
        <v>0.17598792638759314</v>
      </c>
      <c r="W29" s="89">
        <f t="shared" si="11"/>
        <v>0.2002334314237563</v>
      </c>
      <c r="X29" s="89">
        <f t="shared" si="11"/>
        <v>0.22457600039344466</v>
      </c>
      <c r="Y29" s="89">
        <f t="shared" si="11"/>
        <v>0.35</v>
      </c>
      <c r="Z29" s="65">
        <f t="shared" si="8"/>
        <v>1500000</v>
      </c>
      <c r="AA29" s="65">
        <v>265173.12418049981</v>
      </c>
      <c r="AB29" s="65">
        <v>733008.50786029024</v>
      </c>
      <c r="AC29" s="65">
        <v>1311956.6757529404</v>
      </c>
      <c r="AD29" s="65">
        <v>1678265.4648939336</v>
      </c>
      <c r="AE29" s="65">
        <v>2045313.0017934481</v>
      </c>
      <c r="AF29" s="65">
        <v>2276410.5782523053</v>
      </c>
      <c r="AG29" s="65">
        <v>2464805.5539138094</v>
      </c>
      <c r="AH29" s="65">
        <v>2625000.0000000005</v>
      </c>
    </row>
    <row r="30" spans="1:34" ht="15.45" thickTop="1" thickBot="1" x14ac:dyDescent="0.45">
      <c r="A30">
        <v>19</v>
      </c>
      <c r="B30" s="65">
        <f t="shared" si="0"/>
        <v>19</v>
      </c>
      <c r="C30" s="65">
        <f>VLOOKUP(B30,'Oil Production'!$A$13:$I$252,7,FALSE)</f>
        <v>2124.6826413570088</v>
      </c>
      <c r="D30" s="70">
        <f t="shared" si="2"/>
        <v>56.658222704211319</v>
      </c>
      <c r="E30" s="65">
        <f>D30*Royalties!$T$6</f>
        <v>356.36945574717538</v>
      </c>
      <c r="F30" s="65">
        <f>MIN((E30&lt;=Royalties!$N$10)*Royalties!$P$9+(E30&gt;=Royalties!$N$10)*(E30&lt;=Royalties!$N$11)*((E30-Royalties!$N$10)*Royalties!$O$10+Royalties!$P$10)+(E30&gt;=Royalties!$N$11)*(E30&lt;=Royalties!$N$12)*((E30-Royalties!$N$11)*Royalties!$O$11+Royalties!$P$11)+(E30&gt;Royalties!$N$12)*((E30-Royalties!$N$12)*Royalties!$O$12+Royalties!$P$12),Royalties!$O$14)</f>
        <v>0.17431531358049454</v>
      </c>
      <c r="G30" s="65">
        <f>(C30&lt;Royalties!$O$15)*(C30-Royalties!$O$15)*Royalties!$O$16</f>
        <v>0</v>
      </c>
      <c r="H30" s="83">
        <f>MAX(Royalties!$O$13,MIN(0.4,F30+G30))</f>
        <v>0.17431531358049454</v>
      </c>
      <c r="I30" s="70">
        <f t="shared" si="7"/>
        <v>0</v>
      </c>
      <c r="J30" s="70">
        <f t="shared" si="3"/>
        <v>120380.74226977736</v>
      </c>
      <c r="K30" s="70">
        <f>SUM(J$12:J30)</f>
        <v>7002772.7003824711</v>
      </c>
      <c r="L30" s="70">
        <f t="shared" si="4"/>
        <v>0.17431531358049454</v>
      </c>
      <c r="M30" s="70">
        <f>MAX(0,J30-I30)*H30+MIN(I30,J30)*Royalties!$O$17</f>
        <v>20984.206837808935</v>
      </c>
      <c r="N30" s="70">
        <f t="shared" si="1"/>
        <v>99396.535431968427</v>
      </c>
      <c r="O30" s="90">
        <f t="shared" si="5"/>
        <v>0</v>
      </c>
      <c r="P30" s="107"/>
      <c r="Q30" s="92">
        <f t="shared" si="10"/>
        <v>1</v>
      </c>
      <c r="R30" s="89">
        <f t="shared" ref="R30:Y30" si="12">(-AA14+AA$12)/$Z14</f>
        <v>0</v>
      </c>
      <c r="S30" s="89">
        <f t="shared" si="12"/>
        <v>6.7701355386134768E-2</v>
      </c>
      <c r="T30" s="89">
        <f t="shared" si="12"/>
        <v>0.10213603568061301</v>
      </c>
      <c r="U30" s="89">
        <f t="shared" si="12"/>
        <v>0.14443300315423963</v>
      </c>
      <c r="V30" s="89">
        <f t="shared" si="12"/>
        <v>0.17616847625090973</v>
      </c>
      <c r="W30" s="89">
        <f t="shared" si="12"/>
        <v>0.20038131542578386</v>
      </c>
      <c r="X30" s="89">
        <f t="shared" si="12"/>
        <v>0.22468091367649148</v>
      </c>
      <c r="Y30" s="89">
        <f t="shared" si="12"/>
        <v>0.35000000000000187</v>
      </c>
      <c r="Z30" s="65">
        <f t="shared" si="8"/>
        <v>2000000</v>
      </c>
      <c r="AA30" s="65">
        <v>265173.12418049981</v>
      </c>
      <c r="AB30" s="65">
        <v>788285.24526374019</v>
      </c>
      <c r="AC30" s="65">
        <v>1400651.781986245</v>
      </c>
      <c r="AD30" s="65">
        <v>1790983.48662908</v>
      </c>
      <c r="AE30" s="65">
        <v>2182357.9878659807</v>
      </c>
      <c r="AF30" s="65">
        <v>2428445.7368717417</v>
      </c>
      <c r="AG30" s="65">
        <v>2629456.942363386</v>
      </c>
      <c r="AH30" s="65">
        <v>2800000.0000000005</v>
      </c>
    </row>
    <row r="31" spans="1:34" ht="15.45" thickTop="1" thickBot="1" x14ac:dyDescent="0.45">
      <c r="A31">
        <v>20</v>
      </c>
      <c r="B31" s="65">
        <f t="shared" si="0"/>
        <v>20</v>
      </c>
      <c r="C31" s="65">
        <f>VLOOKUP(B31,'Oil Production'!$A$13:$I$252,7,FALSE)</f>
        <v>1920.1416435999708</v>
      </c>
      <c r="D31" s="70">
        <f t="shared" si="2"/>
        <v>56.751798365429629</v>
      </c>
      <c r="E31" s="65">
        <f>D31*Royalties!$T$6</f>
        <v>356.95802887686295</v>
      </c>
      <c r="F31" s="65">
        <f>MIN((E31&lt;=Royalties!$N$10)*Royalties!$P$9+(E31&gt;=Royalties!$N$10)*(E31&lt;=Royalties!$N$11)*((E31-Royalties!$N$10)*Royalties!$O$10+Royalties!$P$10)+(E31&gt;=Royalties!$N$11)*(E31&lt;=Royalties!$N$12)*((E31-Royalties!$N$11)*Royalties!$O$11+Royalties!$P$11)+(E31&gt;Royalties!$N$12)*((E31-Royalties!$N$12)*Royalties!$O$12+Royalties!$P$12),Royalties!$O$14)</f>
        <v>0.17473320050257271</v>
      </c>
      <c r="G31" s="65">
        <f>(C31&lt;Royalties!$O$15)*(C31-Royalties!$O$15)*Royalties!$O$16</f>
        <v>0</v>
      </c>
      <c r="H31" s="83">
        <f>MAX(Royalties!$O$13,MIN(0.4,F31+G31))</f>
        <v>0.17473320050257271</v>
      </c>
      <c r="I31" s="70">
        <f t="shared" si="7"/>
        <v>0</v>
      </c>
      <c r="J31" s="70">
        <f t="shared" si="3"/>
        <v>108971.49139065019</v>
      </c>
      <c r="K31" s="70">
        <f>SUM(J$12:J31)</f>
        <v>7111744.1917731212</v>
      </c>
      <c r="L31" s="70">
        <f t="shared" si="4"/>
        <v>0.17473320050257271</v>
      </c>
      <c r="M31" s="70">
        <f>MAX(0,J31-I31)*H31+MIN(I31,J31)*Royalties!$O$17</f>
        <v>19040.937454226856</v>
      </c>
      <c r="N31" s="70">
        <f t="shared" si="1"/>
        <v>89930.553936423326</v>
      </c>
      <c r="O31" s="90">
        <f t="shared" si="5"/>
        <v>0</v>
      </c>
      <c r="P31" s="107"/>
      <c r="Q31" s="92">
        <f t="shared" si="10"/>
        <v>1.5</v>
      </c>
      <c r="R31" s="89">
        <f t="shared" ref="R31:Y31" si="13">(-AA15+AA$12)/$Z15</f>
        <v>0</v>
      </c>
      <c r="S31" s="89">
        <f t="shared" si="13"/>
        <v>5.1336407718904978E-2</v>
      </c>
      <c r="T31" s="89">
        <f t="shared" si="13"/>
        <v>0.1034466549288084</v>
      </c>
      <c r="U31" s="89">
        <f t="shared" si="13"/>
        <v>0.14504779787583152</v>
      </c>
      <c r="V31" s="89">
        <f t="shared" si="13"/>
        <v>0.17639420872550457</v>
      </c>
      <c r="W31" s="89">
        <f t="shared" si="13"/>
        <v>0.20054764314406831</v>
      </c>
      <c r="X31" s="89">
        <f t="shared" si="13"/>
        <v>0.22483771735726824</v>
      </c>
      <c r="Y31" s="89">
        <f t="shared" si="13"/>
        <v>0.35</v>
      </c>
      <c r="Z31" s="65">
        <f t="shared" si="8"/>
        <v>2500000</v>
      </c>
      <c r="AA31" s="65">
        <v>265173.12418049981</v>
      </c>
      <c r="AB31" s="65">
        <v>847273.47260984255</v>
      </c>
      <c r="AC31" s="65">
        <v>1489695.7127949717</v>
      </c>
      <c r="AD31" s="65">
        <v>1903877.6948545575</v>
      </c>
      <c r="AE31" s="65">
        <v>2319483.3258125577</v>
      </c>
      <c r="AF31" s="65">
        <v>2580590.7894743797</v>
      </c>
      <c r="AG31" s="65">
        <v>2794108.3308129627</v>
      </c>
      <c r="AH31" s="65">
        <v>2975000.0000000005</v>
      </c>
    </row>
    <row r="32" spans="1:34" ht="15.45" thickTop="1" thickBot="1" x14ac:dyDescent="0.45">
      <c r="A32">
        <v>21</v>
      </c>
      <c r="B32" s="65">
        <f t="shared" si="0"/>
        <v>21</v>
      </c>
      <c r="C32" s="65">
        <f>VLOOKUP(B32,'Oil Production'!$A$13:$I$252,7,FALSE)</f>
        <v>1857.9862677784695</v>
      </c>
      <c r="D32" s="70">
        <f t="shared" si="2"/>
        <v>56.845528574460317</v>
      </c>
      <c r="E32" s="65">
        <f>D32*Royalties!$T$6</f>
        <v>357.54757408292625</v>
      </c>
      <c r="F32" s="65">
        <f>MIN((E32&lt;=Royalties!$N$10)*Royalties!$P$9+(E32&gt;=Royalties!$N$10)*(E32&lt;=Royalties!$N$11)*((E32-Royalties!$N$10)*Royalties!$O$10+Royalties!$P$10)+(E32&gt;=Royalties!$N$11)*(E32&lt;=Royalties!$N$12)*((E32-Royalties!$N$11)*Royalties!$O$11+Royalties!$P$11)+(E32&gt;Royalties!$N$12)*((E32-Royalties!$N$12)*Royalties!$O$12+Royalties!$P$12),Royalties!$O$14)</f>
        <v>0.17515177759887765</v>
      </c>
      <c r="G32" s="65">
        <f>(C32&lt;Royalties!$O$15)*(C32-Royalties!$O$15)*Royalties!$O$16</f>
        <v>0</v>
      </c>
      <c r="H32" s="83">
        <f>MAX(Royalties!$O$13,MIN(0.4,F32+G32))</f>
        <v>0.17515177759887765</v>
      </c>
      <c r="I32" s="70">
        <f t="shared" si="7"/>
        <v>0</v>
      </c>
      <c r="J32" s="70">
        <f t="shared" si="3"/>
        <v>105618.21147595586</v>
      </c>
      <c r="K32" s="70">
        <f>SUM(J$12:J32)</f>
        <v>7217362.4032490775</v>
      </c>
      <c r="L32" s="70">
        <f t="shared" si="4"/>
        <v>0.17515177759887765</v>
      </c>
      <c r="M32" s="70">
        <f>MAX(0,J32-I32)*H32+MIN(I32,J32)*Royalties!$O$17</f>
        <v>18499.217486827849</v>
      </c>
      <c r="N32" s="70">
        <f t="shared" si="1"/>
        <v>87118.993989128008</v>
      </c>
      <c r="O32" s="90">
        <f t="shared" si="5"/>
        <v>0</v>
      </c>
      <c r="P32" s="107"/>
      <c r="Q32" s="92">
        <f t="shared" si="10"/>
        <v>2</v>
      </c>
      <c r="R32" s="89">
        <f t="shared" ref="R32:Y32" si="14">(-AA16+AA$12)/$Z16</f>
        <v>0</v>
      </c>
      <c r="S32" s="89">
        <f t="shared" si="14"/>
        <v>3.850230578917873E-2</v>
      </c>
      <c r="T32" s="89">
        <f t="shared" si="14"/>
        <v>0.10522335989833152</v>
      </c>
      <c r="U32" s="89">
        <f t="shared" si="14"/>
        <v>0.14578463419118592</v>
      </c>
      <c r="V32" s="89">
        <f t="shared" si="14"/>
        <v>0.17664320966078062</v>
      </c>
      <c r="W32" s="89">
        <f t="shared" si="14"/>
        <v>0.20072529744597872</v>
      </c>
      <c r="X32" s="89">
        <f t="shared" si="14"/>
        <v>0.22498729888552427</v>
      </c>
      <c r="Y32" s="89">
        <f t="shared" si="14"/>
        <v>0.35000000000000092</v>
      </c>
      <c r="Z32" s="65">
        <f t="shared" si="8"/>
        <v>3000000</v>
      </c>
      <c r="AA32" s="65">
        <v>265173.12418049981</v>
      </c>
      <c r="AB32" s="65">
        <v>903659.19912659656</v>
      </c>
      <c r="AC32" s="65">
        <v>1579153.4547541316</v>
      </c>
      <c r="AD32" s="65">
        <v>2016964.9745339397</v>
      </c>
      <c r="AE32" s="65">
        <v>2456809.975238339</v>
      </c>
      <c r="AF32" s="65">
        <v>2732735.8420770173</v>
      </c>
      <c r="AG32" s="65">
        <v>2958759.7192625394</v>
      </c>
      <c r="AH32" s="65">
        <v>3150000.0000000005</v>
      </c>
    </row>
    <row r="33" spans="1:34" ht="15.45" thickTop="1" thickBot="1" x14ac:dyDescent="0.45">
      <c r="A33">
        <v>22</v>
      </c>
      <c r="B33" s="65">
        <f t="shared" si="0"/>
        <v>22</v>
      </c>
      <c r="C33" s="65">
        <f>VLOOKUP(B33,'Oil Production'!$A$13:$I$252,7,FALSE)</f>
        <v>1687.8666051211039</v>
      </c>
      <c r="D33" s="70">
        <f t="shared" si="2"/>
        <v>56.939413586551666</v>
      </c>
      <c r="E33" s="65">
        <f>D33*Royalties!$T$6</f>
        <v>358.13809297082855</v>
      </c>
      <c r="F33" s="65">
        <f>MIN((E33&lt;=Royalties!$N$10)*Royalties!$P$9+(E33&gt;=Royalties!$N$10)*(E33&lt;=Royalties!$N$11)*((E33-Royalties!$N$10)*Royalties!$O$10+Royalties!$P$10)+(E33&gt;=Royalties!$N$11)*(E33&lt;=Royalties!$N$12)*((E33-Royalties!$N$11)*Royalties!$O$11+Royalties!$P$11)+(E33&gt;Royalties!$N$12)*((E33-Royalties!$N$12)*Royalties!$O$12+Royalties!$P$12),Royalties!$O$14)</f>
        <v>0.1755710460092883</v>
      </c>
      <c r="G33" s="65">
        <f>(C33&lt;Royalties!$O$15)*(C33-Royalties!$O$15)*Royalties!$O$16</f>
        <v>0</v>
      </c>
      <c r="H33" s="83">
        <f>MAX(Royalties!$O$13,MIN(0.4,F33+G33))</f>
        <v>0.1755710460092883</v>
      </c>
      <c r="I33" s="70">
        <f t="shared" si="7"/>
        <v>0</v>
      </c>
      <c r="J33" s="70">
        <f t="shared" si="3"/>
        <v>96106.134707919424</v>
      </c>
      <c r="K33" s="70">
        <f>SUM(J$12:J33)</f>
        <v>7313468.5379569968</v>
      </c>
      <c r="L33" s="70">
        <f t="shared" si="4"/>
        <v>0.1755710460092883</v>
      </c>
      <c r="M33" s="70">
        <f>MAX(0,J33-I33)*H33+MIN(I33,J33)*Royalties!$O$17</f>
        <v>16873.454598578981</v>
      </c>
      <c r="N33" s="70">
        <f t="shared" si="1"/>
        <v>79232.680109340436</v>
      </c>
      <c r="O33" s="90">
        <f t="shared" si="5"/>
        <v>0</v>
      </c>
      <c r="P33" s="107"/>
      <c r="Q33" s="92">
        <f t="shared" si="10"/>
        <v>2.5</v>
      </c>
      <c r="R33" s="89">
        <f t="shared" ref="R33:Y33" si="15">(-AA17+AA$12)/$Z17</f>
        <v>0</v>
      </c>
      <c r="S33" s="89">
        <f t="shared" si="15"/>
        <v>3.0801844631342987E-2</v>
      </c>
      <c r="T33" s="89">
        <f t="shared" si="15"/>
        <v>0.10777397885710625</v>
      </c>
      <c r="U33" s="89">
        <f t="shared" si="15"/>
        <v>0.14667815637885212</v>
      </c>
      <c r="V33" s="89">
        <f t="shared" si="15"/>
        <v>0.17693214005211527</v>
      </c>
      <c r="W33" s="89">
        <f t="shared" si="15"/>
        <v>0.20093342999321817</v>
      </c>
      <c r="X33" s="89">
        <f t="shared" si="15"/>
        <v>0.22514752239861022</v>
      </c>
      <c r="Y33" s="89">
        <f t="shared" si="15"/>
        <v>0.35000000000000075</v>
      </c>
      <c r="Z33" s="65">
        <f t="shared" si="8"/>
        <v>3500000</v>
      </c>
      <c r="AA33" s="65">
        <v>265173.12418049981</v>
      </c>
      <c r="AB33" s="65">
        <v>913992.40878118866</v>
      </c>
      <c r="AC33" s="65">
        <v>1669136.2340640374</v>
      </c>
      <c r="AD33" s="65">
        <v>2130304.1430908716</v>
      </c>
      <c r="AE33" s="65">
        <v>2594247.6213867362</v>
      </c>
      <c r="AF33" s="65">
        <v>2884996.3570360499</v>
      </c>
      <c r="AG33" s="65">
        <v>3123529.8066237806</v>
      </c>
      <c r="AH33" s="65">
        <v>3325000.0000000005</v>
      </c>
    </row>
    <row r="34" spans="1:34" ht="15.45" thickTop="1" thickBot="1" x14ac:dyDescent="0.45">
      <c r="A34">
        <v>23</v>
      </c>
      <c r="B34" s="65">
        <f t="shared" si="0"/>
        <v>23</v>
      </c>
      <c r="C34" s="65">
        <f>VLOOKUP(B34,'Oil Production'!$A$13:$I$252,7,FALSE)</f>
        <v>1641.0926121736702</v>
      </c>
      <c r="D34" s="70">
        <f t="shared" si="2"/>
        <v>57.033453657373514</v>
      </c>
      <c r="E34" s="65">
        <f>D34*Royalties!$T$6</f>
        <v>358.72958714868452</v>
      </c>
      <c r="F34" s="65">
        <f>MIN((E34&lt;=Royalties!$N$10)*Royalties!$P$9+(E34&gt;=Royalties!$N$10)*(E34&lt;=Royalties!$N$11)*((E34-Royalties!$N$10)*Royalties!$O$10+Royalties!$P$10)+(E34&gt;=Royalties!$N$11)*(E34&lt;=Royalties!$N$12)*((E34-Royalties!$N$11)*Royalties!$O$11+Royalties!$P$11)+(E34&gt;Royalties!$N$12)*((E34-Royalties!$N$12)*Royalties!$O$12+Royalties!$P$12),Royalties!$O$14)</f>
        <v>0.17599100687556601</v>
      </c>
      <c r="G34" s="65">
        <f>(C34&lt;Royalties!$O$15)*(C34-Royalties!$O$15)*Royalties!$O$16</f>
        <v>0</v>
      </c>
      <c r="H34" s="83">
        <f>MAX(Royalties!$O$13,MIN(0.4,F34+G34))</f>
        <v>0.17599100687556601</v>
      </c>
      <c r="I34" s="70">
        <f t="shared" si="7"/>
        <v>0</v>
      </c>
      <c r="J34" s="70">
        <f t="shared" si="3"/>
        <v>93597.179443865069</v>
      </c>
      <c r="K34" s="70">
        <f>SUM(J$12:J34)</f>
        <v>7407065.7174008619</v>
      </c>
      <c r="L34" s="70">
        <f t="shared" si="4"/>
        <v>0.17599100687556601</v>
      </c>
      <c r="M34" s="70">
        <f>MAX(0,J34-I34)*H34+MIN(I34,J34)*Royalties!$O$17</f>
        <v>16472.261851038842</v>
      </c>
      <c r="N34" s="70">
        <f t="shared" si="1"/>
        <v>77124.917592826227</v>
      </c>
      <c r="O34" s="90">
        <f t="shared" si="5"/>
        <v>0</v>
      </c>
      <c r="P34" s="107"/>
      <c r="Q34" s="92">
        <f t="shared" si="10"/>
        <v>3</v>
      </c>
      <c r="R34" s="89">
        <f t="shared" ref="R34:Y34" si="16">(-AA18+AA$12)/$Z18</f>
        <v>0</v>
      </c>
      <c r="S34" s="89">
        <f t="shared" si="16"/>
        <v>2.5668203859452489E-2</v>
      </c>
      <c r="T34" s="89">
        <f t="shared" si="16"/>
        <v>0.10860689121983963</v>
      </c>
      <c r="U34" s="89">
        <f t="shared" si="16"/>
        <v>0.14779249311041401</v>
      </c>
      <c r="V34" s="89">
        <f t="shared" si="16"/>
        <v>0.17726269736314929</v>
      </c>
      <c r="W34" s="89">
        <f t="shared" si="16"/>
        <v>0.20115926509270179</v>
      </c>
      <c r="X34" s="89">
        <f t="shared" si="16"/>
        <v>0.22531869522530276</v>
      </c>
      <c r="Y34" s="89">
        <f t="shared" si="16"/>
        <v>0.35000000000000125</v>
      </c>
      <c r="Z34" s="65">
        <f t="shared" si="8"/>
        <v>4000000</v>
      </c>
      <c r="AA34" s="65">
        <v>265173.12418049981</v>
      </c>
      <c r="AB34" s="65">
        <v>913992.40878118866</v>
      </c>
      <c r="AC34" s="65">
        <v>1759795.2092448885</v>
      </c>
      <c r="AD34" s="65">
        <v>2243895.1824703938</v>
      </c>
      <c r="AE34" s="65">
        <v>2731848.1516549503</v>
      </c>
      <c r="AF34" s="65">
        <v>3037277.3497309452</v>
      </c>
      <c r="AG34" s="65">
        <v>3288337.7903960547</v>
      </c>
      <c r="AH34" s="65">
        <v>3500000.0000000005</v>
      </c>
    </row>
    <row r="35" spans="1:34" ht="15.45" thickTop="1" thickBot="1" x14ac:dyDescent="0.45">
      <c r="A35">
        <v>24</v>
      </c>
      <c r="B35" s="65">
        <f t="shared" si="0"/>
        <v>24</v>
      </c>
      <c r="C35" s="65">
        <f>VLOOKUP(B35,'Oil Production'!$A$13:$I$252,7,FALSE)</f>
        <v>1545.9747098356893</v>
      </c>
      <c r="D35" s="70">
        <f t="shared" si="2"/>
        <v>57.127649043017968</v>
      </c>
      <c r="E35" s="65">
        <f>D35*Royalties!$T$6</f>
        <v>359.32205822726485</v>
      </c>
      <c r="F35" s="65">
        <f>MIN((E35&lt;=Royalties!$N$10)*Royalties!$P$9+(E35&gt;=Royalties!$N$10)*(E35&lt;=Royalties!$N$11)*((E35-Royalties!$N$10)*Royalties!$O$10+Royalties!$P$10)+(E35&gt;=Royalties!$N$11)*(E35&lt;=Royalties!$N$12)*((E35-Royalties!$N$11)*Royalties!$O$11+Royalties!$P$11)+(E35&gt;Royalties!$N$12)*((E35-Royalties!$N$12)*Royalties!$O$12+Royalties!$P$12),Royalties!$O$14)</f>
        <v>0.17641166134135805</v>
      </c>
      <c r="G35" s="65">
        <f>(C35&lt;Royalties!$O$15)*(C35-Royalties!$O$15)*Royalties!$O$16</f>
        <v>0</v>
      </c>
      <c r="H35" s="83">
        <f>MAX(Royalties!$O$13,MIN(0.4,F35+G35))</f>
        <v>0.17641166134135805</v>
      </c>
      <c r="I35" s="70">
        <f t="shared" si="7"/>
        <v>0</v>
      </c>
      <c r="J35" s="70">
        <f t="shared" si="3"/>
        <v>88317.9006528748</v>
      </c>
      <c r="K35" s="70">
        <f>SUM(J$12:J35)</f>
        <v>7495383.6180537371</v>
      </c>
      <c r="L35" s="70">
        <f t="shared" si="4"/>
        <v>0.17641166134135805</v>
      </c>
      <c r="M35" s="70">
        <f>MAX(0,J35-I35)*H35+MIN(I35,J35)*Royalties!$O$17</f>
        <v>15580.307580354654</v>
      </c>
      <c r="N35" s="70">
        <f t="shared" si="1"/>
        <v>72737.593072520147</v>
      </c>
      <c r="O35" s="90">
        <f t="shared" si="5"/>
        <v>0</v>
      </c>
      <c r="P35" s="107"/>
      <c r="Q35" s="92">
        <f t="shared" si="10"/>
        <v>3.5</v>
      </c>
      <c r="R35" s="89">
        <f t="shared" ref="R35:Y35" si="17">(-AA19+AA$12)/$Z19</f>
        <v>0</v>
      </c>
      <c r="S35" s="89">
        <f t="shared" si="17"/>
        <v>2.2001317593816419E-2</v>
      </c>
      <c r="T35" s="89">
        <f t="shared" si="17"/>
        <v>9.6043966661174596E-2</v>
      </c>
      <c r="U35" s="89">
        <f t="shared" si="17"/>
        <v>0.1492243929792581</v>
      </c>
      <c r="V35" s="89">
        <f t="shared" si="17"/>
        <v>0.17764882039981536</v>
      </c>
      <c r="W35" s="89">
        <f t="shared" si="17"/>
        <v>0.20141537791710692</v>
      </c>
      <c r="X35" s="89">
        <f t="shared" si="17"/>
        <v>0.22551292978081161</v>
      </c>
      <c r="Y35" s="89">
        <f t="shared" si="17"/>
        <v>0.35000000000000053</v>
      </c>
      <c r="Z35" s="65">
        <f t="shared" si="8"/>
        <v>4500000</v>
      </c>
      <c r="AA35" s="65">
        <v>265173.12418049981</v>
      </c>
      <c r="AB35" s="65">
        <v>913992.40878118866</v>
      </c>
      <c r="AC35" s="65">
        <v>1851348.2188850783</v>
      </c>
      <c r="AD35" s="65">
        <v>2357816.2361787925</v>
      </c>
      <c r="AE35" s="65">
        <v>2869648.6182160694</v>
      </c>
      <c r="AF35" s="65">
        <v>3189665.3966637584</v>
      </c>
      <c r="AG35" s="65">
        <v>3453154.7079765103</v>
      </c>
      <c r="AH35" s="65">
        <v>3675000.0000000005</v>
      </c>
    </row>
    <row r="36" spans="1:34" ht="15.45" thickTop="1" thickBot="1" x14ac:dyDescent="0.45">
      <c r="A36">
        <v>25</v>
      </c>
      <c r="B36" s="65">
        <f t="shared" si="0"/>
        <v>25</v>
      </c>
      <c r="C36" s="65">
        <f>VLOOKUP(B36,'Oil Production'!$A$13:$I$252,7,FALSE)</f>
        <v>1367.6900071121345</v>
      </c>
      <c r="D36" s="70">
        <f t="shared" si="2"/>
        <v>57.222000000000079</v>
      </c>
      <c r="E36" s="65">
        <f>D36*Royalties!$T$6</f>
        <v>359.91550782000053</v>
      </c>
      <c r="F36" s="65">
        <f>MIN((E36&lt;=Royalties!$N$10)*Royalties!$P$9+(E36&gt;=Royalties!$N$10)*(E36&lt;=Royalties!$N$11)*((E36-Royalties!$N$10)*Royalties!$O$10+Royalties!$P$10)+(E36&gt;=Royalties!$N$11)*(E36&lt;=Royalties!$N$12)*((E36-Royalties!$N$11)*Royalties!$O$11+Royalties!$P$11)+(E36&gt;Royalties!$N$12)*((E36-Royalties!$N$12)*Royalties!$O$12+Royalties!$P$12),Royalties!$O$14)</f>
        <v>0.17683301055220041</v>
      </c>
      <c r="G36" s="65">
        <f>(C36&lt;Royalties!$O$15)*(C36-Royalties!$O$15)*Royalties!$O$16</f>
        <v>0</v>
      </c>
      <c r="H36" s="83">
        <f>MAX(Royalties!$O$13,MIN(0.4,F36+G36))</f>
        <v>0.17683301055220041</v>
      </c>
      <c r="I36" s="70">
        <f t="shared" si="7"/>
        <v>0</v>
      </c>
      <c r="J36" s="70">
        <f t="shared" si="3"/>
        <v>78261.957586970675</v>
      </c>
      <c r="K36" s="70">
        <f>SUM(J$12:J36)</f>
        <v>7573645.5756407082</v>
      </c>
      <c r="L36" s="70">
        <f t="shared" si="4"/>
        <v>0.17683301055220041</v>
      </c>
      <c r="M36" s="70">
        <f>MAX(0,J36-I36)*H36+MIN(I36,J36)*Royalties!$O$17</f>
        <v>13839.297571812645</v>
      </c>
      <c r="N36" s="70">
        <f t="shared" si="1"/>
        <v>64422.660015158028</v>
      </c>
      <c r="O36" s="90">
        <f t="shared" si="5"/>
        <v>0</v>
      </c>
      <c r="P36" s="107"/>
      <c r="Q36" s="92">
        <f t="shared" si="10"/>
        <v>4</v>
      </c>
      <c r="R36" s="89">
        <f t="shared" ref="R36:Y36" si="18">(-AA20+AA$12)/$Z20</f>
        <v>0</v>
      </c>
      <c r="S36" s="89">
        <f t="shared" si="18"/>
        <v>1.9251152894589365E-2</v>
      </c>
      <c r="T36" s="89">
        <f t="shared" si="18"/>
        <v>8.4038470828527778E-2</v>
      </c>
      <c r="U36" s="89">
        <f t="shared" si="18"/>
        <v>0.150974123178817</v>
      </c>
      <c r="V36" s="89">
        <f t="shared" si="18"/>
        <v>0.17810746164505126</v>
      </c>
      <c r="W36" s="89">
        <f t="shared" si="18"/>
        <v>0.20170198456484337</v>
      </c>
      <c r="X36" s="89">
        <f t="shared" si="18"/>
        <v>0.22572157340309071</v>
      </c>
      <c r="Y36" s="89">
        <f t="shared" si="18"/>
        <v>0.35000000000000092</v>
      </c>
      <c r="Z36" s="65">
        <f t="shared" si="8"/>
        <v>5000000</v>
      </c>
      <c r="AA36" s="65">
        <v>265173.12418049981</v>
      </c>
      <c r="AB36" s="65">
        <v>913992.40878118866</v>
      </c>
      <c r="AC36" s="65">
        <v>1944119.7722965956</v>
      </c>
      <c r="AD36" s="65">
        <v>2472091.6488659093</v>
      </c>
      <c r="AE36" s="65">
        <v>3007662.7940568728</v>
      </c>
      <c r="AF36" s="65">
        <v>3342083.3287569932</v>
      </c>
      <c r="AG36" s="65">
        <v>3618119.5457013892</v>
      </c>
      <c r="AH36" s="65">
        <v>3850000.0000000005</v>
      </c>
    </row>
    <row r="37" spans="1:34" ht="15.45" thickTop="1" thickBot="1" x14ac:dyDescent="0.45">
      <c r="A37">
        <v>26</v>
      </c>
      <c r="B37" s="65">
        <f t="shared" si="0"/>
        <v>26</v>
      </c>
      <c r="C37" s="65">
        <f>VLOOKUP(B37,'Oil Production'!$A$13:$I$252,7,FALSE)</f>
        <v>1385.1898455101473</v>
      </c>
      <c r="D37" s="70">
        <f t="shared" si="2"/>
        <v>57.316506785258561</v>
      </c>
      <c r="E37" s="65">
        <f>D37*Royalties!$T$6</f>
        <v>360.50993754298713</v>
      </c>
      <c r="F37" s="65">
        <f>MIN((E37&lt;=Royalties!$N$10)*Royalties!$P$9+(E37&gt;=Royalties!$N$10)*(E37&lt;=Royalties!$N$11)*((E37-Royalties!$N$10)*Royalties!$O$10+Royalties!$P$10)+(E37&gt;=Royalties!$N$11)*(E37&lt;=Royalties!$N$12)*((E37-Royalties!$N$11)*Royalties!$O$11+Royalties!$P$11)+(E37&gt;Royalties!$N$12)*((E37-Royalties!$N$12)*Royalties!$O$12+Royalties!$P$12),Royalties!$O$14)</f>
        <v>0.17725505565552088</v>
      </c>
      <c r="G37" s="65">
        <f>(C37&lt;Royalties!$O$15)*(C37-Royalties!$O$15)*Royalties!$O$16</f>
        <v>0</v>
      </c>
      <c r="H37" s="83">
        <f>MAX(Royalties!$O$13,MIN(0.4,F37+G37))</f>
        <v>0.17725505565552088</v>
      </c>
      <c r="I37" s="70">
        <f t="shared" si="7"/>
        <v>0</v>
      </c>
      <c r="J37" s="70">
        <f t="shared" si="3"/>
        <v>79394.243179053621</v>
      </c>
      <c r="K37" s="70">
        <f>SUM(J$12:J37)</f>
        <v>7653039.8188197622</v>
      </c>
      <c r="L37" s="70">
        <f t="shared" si="4"/>
        <v>0.17725505565552088</v>
      </c>
      <c r="M37" s="70">
        <f>MAX(0,J37-I37)*H37+MIN(I37,J37)*Royalties!$O$17</f>
        <v>14073.030993431108</v>
      </c>
      <c r="N37" s="70">
        <f t="shared" si="1"/>
        <v>65321.212185622513</v>
      </c>
      <c r="O37" s="90">
        <f t="shared" si="5"/>
        <v>0</v>
      </c>
      <c r="P37" s="107"/>
      <c r="Q37" s="92">
        <f t="shared" si="10"/>
        <v>4.5</v>
      </c>
      <c r="R37" s="89">
        <f t="shared" ref="R37:Y37" si="19">(-AA21+AA$12)/$Z21</f>
        <v>0</v>
      </c>
      <c r="S37" s="89">
        <f t="shared" si="19"/>
        <v>1.7112135906301659E-2</v>
      </c>
      <c r="T37" s="89">
        <f t="shared" si="19"/>
        <v>7.4700862958691355E-2</v>
      </c>
      <c r="U37" s="89">
        <f t="shared" si="19"/>
        <v>0.15300024835911141</v>
      </c>
      <c r="V37" s="89">
        <f t="shared" si="19"/>
        <v>0.17866285693786557</v>
      </c>
      <c r="W37" s="89">
        <f t="shared" si="19"/>
        <v>0.20202942403747975</v>
      </c>
      <c r="X37" s="89">
        <f t="shared" si="19"/>
        <v>0.22595718829350278</v>
      </c>
      <c r="Y37" s="89">
        <f t="shared" si="19"/>
        <v>0.35000000000000125</v>
      </c>
      <c r="Z37" s="82"/>
    </row>
    <row r="38" spans="1:34" ht="15.45" thickTop="1" thickBot="1" x14ac:dyDescent="0.45">
      <c r="A38">
        <v>27</v>
      </c>
      <c r="B38" s="65">
        <f t="shared" si="0"/>
        <v>27</v>
      </c>
      <c r="C38" s="65">
        <f>VLOOKUP(B38,'Oil Production'!$A$13:$I$252,7,FALSE)</f>
        <v>1271.0822611514304</v>
      </c>
      <c r="D38" s="70">
        <f t="shared" si="2"/>
        <v>57.411169656156474</v>
      </c>
      <c r="E38" s="65">
        <f>D38*Royalties!$T$6</f>
        <v>361.10534901498954</v>
      </c>
      <c r="F38" s="65">
        <f>MIN((E38&lt;=Royalties!$N$10)*Royalties!$P$9+(E38&gt;=Royalties!$N$10)*(E38&lt;=Royalties!$N$11)*((E38-Royalties!$N$10)*Royalties!$O$10+Royalties!$P$10)+(E38&gt;=Royalties!$N$11)*(E38&lt;=Royalties!$N$12)*((E38-Royalties!$N$11)*Royalties!$O$11+Royalties!$P$11)+(E38&gt;Royalties!$N$12)*((E38-Royalties!$N$12)*Royalties!$O$12+Royalties!$P$12),Royalties!$O$14)</f>
        <v>0.17767779780064258</v>
      </c>
      <c r="G38" s="65">
        <f>(C38&lt;Royalties!$O$15)*(C38-Royalties!$O$15)*Royalties!$O$16</f>
        <v>0</v>
      </c>
      <c r="H38" s="83">
        <f>MAX(Royalties!$O$13,MIN(0.4,F38+G38))</f>
        <v>0.17767779780064258</v>
      </c>
      <c r="I38" s="70">
        <f t="shared" si="7"/>
        <v>0</v>
      </c>
      <c r="J38" s="70">
        <f t="shared" si="3"/>
        <v>72974.319341895767</v>
      </c>
      <c r="K38" s="70">
        <f>SUM(J$12:J38)</f>
        <v>7726014.1381616583</v>
      </c>
      <c r="L38" s="70">
        <f t="shared" si="4"/>
        <v>0.17767779780064258</v>
      </c>
      <c r="M38" s="70">
        <f>MAX(0,J38-I38)*H38+MIN(I38,J38)*Royalties!$O$17</f>
        <v>12965.916356668877</v>
      </c>
      <c r="N38" s="70">
        <f t="shared" si="1"/>
        <v>60008.402985226887</v>
      </c>
      <c r="O38" s="90">
        <f t="shared" si="5"/>
        <v>0</v>
      </c>
      <c r="P38" s="108"/>
      <c r="Q38" s="92">
        <f t="shared" si="10"/>
        <v>5</v>
      </c>
      <c r="R38" s="89">
        <f t="shared" ref="R38:Y38" si="20">(-AA22+AA$12)/$Z22</f>
        <v>0</v>
      </c>
      <c r="S38" s="89">
        <f t="shared" si="20"/>
        <v>1.5400922315671493E-2</v>
      </c>
      <c r="T38" s="89">
        <f t="shared" si="20"/>
        <v>6.723077666282222E-2</v>
      </c>
      <c r="U38" s="89">
        <f t="shared" si="20"/>
        <v>0.14933827688092069</v>
      </c>
      <c r="V38" s="89">
        <f t="shared" si="20"/>
        <v>0.17935088192638232</v>
      </c>
      <c r="W38" s="89">
        <f t="shared" si="20"/>
        <v>0.20240697732302343</v>
      </c>
      <c r="X38" s="89">
        <f t="shared" si="20"/>
        <v>0.22621655200157584</v>
      </c>
      <c r="Y38" s="89">
        <f t="shared" si="20"/>
        <v>0.35000000000000148</v>
      </c>
      <c r="Z38" s="82"/>
    </row>
    <row r="39" spans="1:34" x14ac:dyDescent="0.4">
      <c r="A39">
        <v>28</v>
      </c>
      <c r="B39" s="65">
        <f t="shared" si="0"/>
        <v>28</v>
      </c>
      <c r="C39" s="65">
        <f>VLOOKUP(B39,'Oil Production'!$A$13:$I$252,7,FALSE)</f>
        <v>1247.5078999722027</v>
      </c>
      <c r="D39" s="70">
        <f t="shared" si="2"/>
        <v>57.50598887048195</v>
      </c>
      <c r="E39" s="65">
        <f>D39*Royalties!$T$6</f>
        <v>361.7017438574461</v>
      </c>
      <c r="F39" s="65">
        <f>MIN((E39&lt;=Royalties!$N$10)*Royalties!$P$9+(E39&gt;=Royalties!$N$10)*(E39&lt;=Royalties!$N$11)*((E39-Royalties!$N$10)*Royalties!$O$10+Royalties!$P$10)+(E39&gt;=Royalties!$N$11)*(E39&lt;=Royalties!$N$12)*((E39-Royalties!$N$11)*Royalties!$O$11+Royalties!$P$11)+(E39&gt;Royalties!$N$12)*((E39-Royalties!$N$12)*Royalties!$O$12+Royalties!$P$12),Royalties!$O$14)</f>
        <v>0.17810123813878675</v>
      </c>
      <c r="G39" s="65">
        <f>(C39&lt;Royalties!$O$15)*(C39-Royalties!$O$15)*Royalties!$O$16</f>
        <v>0</v>
      </c>
      <c r="H39" s="83">
        <f>MAX(Royalties!$O$13,MIN(0.4,F39+G39))</f>
        <v>0.17810123813878675</v>
      </c>
      <c r="I39" s="70">
        <f t="shared" si="7"/>
        <v>0</v>
      </c>
      <c r="J39" s="70">
        <f t="shared" si="3"/>
        <v>71739.175411639793</v>
      </c>
      <c r="K39" s="70">
        <f>SUM(J$12:J39)</f>
        <v>7797753.313573298</v>
      </c>
      <c r="L39" s="70">
        <f t="shared" si="4"/>
        <v>0.17810123813878675</v>
      </c>
      <c r="M39" s="70">
        <f>MAX(0,J39-I39)*H39+MIN(I39,J39)*Royalties!$O$17</f>
        <v>12776.835963868654</v>
      </c>
      <c r="N39" s="70">
        <f t="shared" si="1"/>
        <v>58962.339447771141</v>
      </c>
      <c r="O39" s="90">
        <f t="shared" si="5"/>
        <v>0</v>
      </c>
      <c r="P39" s="105" t="str">
        <f>CONCATENATE("Foregone royalty payments per dollar of R* credit for a new well
(IP30 ",ROUND('Oil Production'!$B$8,0),"bbl/d, Year 1:IP30=",ROUND('Oil Production'!$B$9,2),")"  )</f>
        <v>Foregone royalty payments per dollar of R* credit for a new well
(IP30 702bbl/d, Year 1:IP30=5.48)</v>
      </c>
      <c r="Q39" s="105"/>
      <c r="R39" s="105"/>
      <c r="S39" s="105"/>
      <c r="T39" s="105"/>
      <c r="U39" s="105"/>
      <c r="V39" s="105"/>
      <c r="W39" s="105"/>
      <c r="X39" s="105"/>
      <c r="Y39" s="105"/>
      <c r="Z39" s="82"/>
    </row>
    <row r="40" spans="1:34" x14ac:dyDescent="0.4">
      <c r="A40">
        <v>29</v>
      </c>
      <c r="B40" s="65">
        <f t="shared" si="0"/>
        <v>29</v>
      </c>
      <c r="C40" s="65">
        <f>VLOOKUP(B40,'Oil Production'!$A$13:$I$252,7,FALSE)</f>
        <v>1148.4006834903848</v>
      </c>
      <c r="D40" s="70">
        <f t="shared" si="2"/>
        <v>57.600964686448869</v>
      </c>
      <c r="E40" s="65">
        <f>D40*Royalties!$T$6</f>
        <v>362.29912369447294</v>
      </c>
      <c r="F40" s="65">
        <f>MIN((E40&lt;=Royalties!$N$10)*Royalties!$P$9+(E40&gt;=Royalties!$N$10)*(E40&lt;=Royalties!$N$11)*((E40-Royalties!$N$10)*Royalties!$O$10+Royalties!$P$10)+(E40&gt;=Royalties!$N$11)*(E40&lt;=Royalties!$N$12)*((E40-Royalties!$N$11)*Royalties!$O$11+Royalties!$P$11)+(E40&gt;Royalties!$N$12)*((E40-Royalties!$N$12)*Royalties!$O$12+Royalties!$P$12),Royalties!$O$14)</f>
        <v>0.17852537782307581</v>
      </c>
      <c r="G40" s="65">
        <f>(C40&lt;Royalties!$O$15)*(C40-Royalties!$O$15)*Royalties!$O$16</f>
        <v>0</v>
      </c>
      <c r="H40" s="83">
        <f>MAX(Royalties!$O$13,MIN(0.4,F40+G40))</f>
        <v>0.17852537782307581</v>
      </c>
      <c r="I40" s="70">
        <f t="shared" si="7"/>
        <v>0</v>
      </c>
      <c r="J40" s="70">
        <f t="shared" si="3"/>
        <v>66148.987215623405</v>
      </c>
      <c r="K40" s="70">
        <f>SUM(J$12:J40)</f>
        <v>7863902.3007889213</v>
      </c>
      <c r="L40" s="70">
        <f t="shared" si="4"/>
        <v>0.17852537782307581</v>
      </c>
      <c r="M40" s="70">
        <f>MAX(0,J40-I40)*H40+MIN(I40,J40)*Royalties!$O$17</f>
        <v>11809.272935282981</v>
      </c>
      <c r="N40" s="70">
        <f t="shared" si="1"/>
        <v>54339.714280340428</v>
      </c>
      <c r="O40" s="90">
        <f t="shared" si="5"/>
        <v>0</v>
      </c>
      <c r="P40" s="105"/>
      <c r="Q40" s="105"/>
      <c r="R40" s="105"/>
      <c r="S40" s="105"/>
      <c r="T40" s="105"/>
      <c r="U40" s="105"/>
      <c r="V40" s="105"/>
      <c r="W40" s="105"/>
      <c r="X40" s="105"/>
      <c r="Y40" s="105"/>
    </row>
    <row r="41" spans="1:34" x14ac:dyDescent="0.4">
      <c r="A41">
        <v>30</v>
      </c>
      <c r="B41" s="65">
        <f t="shared" si="0"/>
        <v>30</v>
      </c>
      <c r="C41" s="65">
        <f>VLOOKUP(B41,'Oil Production'!$A$13:$I$252,7,FALSE)</f>
        <v>1130.4874050200742</v>
      </c>
      <c r="D41" s="70">
        <f t="shared" si="2"/>
        <v>57.696097362697571</v>
      </c>
      <c r="E41" s="65">
        <f>D41*Royalties!$T$6</f>
        <v>362.89749015286884</v>
      </c>
      <c r="F41" s="65">
        <f>MIN((E41&lt;=Royalties!$N$10)*Royalties!$P$9+(E41&gt;=Royalties!$N$10)*(E41&lt;=Royalties!$N$11)*((E41-Royalties!$N$10)*Royalties!$O$10+Royalties!$P$10)+(E41&gt;=Royalties!$N$11)*(E41&lt;=Royalties!$N$12)*((E41-Royalties!$N$11)*Royalties!$O$11+Royalties!$P$11)+(E41&gt;Royalties!$N$12)*((E41-Royalties!$N$12)*Royalties!$O$12+Royalties!$P$12),Royalties!$O$14)</f>
        <v>0.17895021800853689</v>
      </c>
      <c r="G41" s="65">
        <f>(C41&lt;Royalties!$O$15)*(C41-Royalties!$O$15)*Royalties!$O$16</f>
        <v>0</v>
      </c>
      <c r="H41" s="83">
        <f>MAX(Royalties!$O$13,MIN(0.4,F41+G41))</f>
        <v>0.17895021800853689</v>
      </c>
      <c r="I41" s="70">
        <f t="shared" si="7"/>
        <v>0</v>
      </c>
      <c r="J41" s="70">
        <f t="shared" si="3"/>
        <v>65224.711387341529</v>
      </c>
      <c r="K41" s="70">
        <f>SUM(J$12:J41)</f>
        <v>7929127.0121762631</v>
      </c>
      <c r="L41" s="70">
        <f t="shared" si="4"/>
        <v>0.17895021800853689</v>
      </c>
      <c r="M41" s="70">
        <f>MAX(0,J41-I41)*H41+MIN(I41,J41)*Royalties!$O$17</f>
        <v>11671.976322308665</v>
      </c>
      <c r="N41" s="70">
        <f t="shared" si="1"/>
        <v>53552.735065032866</v>
      </c>
      <c r="O41" s="90">
        <f t="shared" si="5"/>
        <v>0</v>
      </c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2"/>
    </row>
    <row r="42" spans="1:34" x14ac:dyDescent="0.4">
      <c r="A42">
        <v>31</v>
      </c>
      <c r="B42" s="65">
        <f t="shared" si="0"/>
        <v>31</v>
      </c>
      <c r="C42" s="65">
        <f>VLOOKUP(B42,'Oil Production'!$A$13:$I$252,7,FALSE)</f>
        <v>1077.6019301688648</v>
      </c>
      <c r="D42" s="70">
        <f t="shared" si="2"/>
        <v>57.791387158295571</v>
      </c>
      <c r="E42" s="65">
        <f>D42*Royalties!$T$6</f>
        <v>363.49684486211908</v>
      </c>
      <c r="F42" s="65">
        <f>MIN((E42&lt;=Royalties!$N$10)*Royalties!$P$9+(E42&gt;=Royalties!$N$10)*(E42&lt;=Royalties!$N$11)*((E42-Royalties!$N$10)*Royalties!$O$10+Royalties!$P$10)+(E42&gt;=Royalties!$N$11)*(E42&lt;=Royalties!$N$12)*((E42-Royalties!$N$11)*Royalties!$O$11+Royalties!$P$11)+(E42&gt;Royalties!$N$12)*((E42-Royalties!$N$12)*Royalties!$O$12+Royalties!$P$12),Royalties!$O$14)</f>
        <v>0.17937575985210458</v>
      </c>
      <c r="G42" s="65">
        <f>(C42&lt;Royalties!$O$15)*(C42-Royalties!$O$15)*Royalties!$O$16</f>
        <v>0</v>
      </c>
      <c r="H42" s="83">
        <f>MAX(Royalties!$O$13,MIN(0.4,F42+G42))</f>
        <v>0.17937575985210458</v>
      </c>
      <c r="I42" s="70">
        <f t="shared" si="7"/>
        <v>0</v>
      </c>
      <c r="J42" s="70">
        <f t="shared" si="3"/>
        <v>62276.110348915456</v>
      </c>
      <c r="K42" s="70">
        <f>SUM(J$12:J42)</f>
        <v>7991403.1225251788</v>
      </c>
      <c r="L42" s="70">
        <f t="shared" si="4"/>
        <v>0.17937575985210458</v>
      </c>
      <c r="M42" s="70">
        <f>MAX(0,J42-I42)*H42+MIN(I42,J42)*Royalties!$O$17</f>
        <v>11170.824614470223</v>
      </c>
      <c r="N42" s="70">
        <f t="shared" si="1"/>
        <v>51105.285734445235</v>
      </c>
      <c r="O42" s="90">
        <f t="shared" si="5"/>
        <v>0</v>
      </c>
      <c r="P42" s="85"/>
      <c r="Q42" s="85"/>
      <c r="R42" s="100" t="s">
        <v>147</v>
      </c>
      <c r="S42" s="100"/>
      <c r="T42" s="100"/>
      <c r="U42" s="100"/>
      <c r="V42" s="100"/>
      <c r="W42" s="100"/>
      <c r="X42" s="100"/>
      <c r="Y42" s="100"/>
      <c r="Z42" s="82"/>
    </row>
    <row r="43" spans="1:34" ht="15" customHeight="1" thickBot="1" x14ac:dyDescent="0.45">
      <c r="A43">
        <v>32</v>
      </c>
      <c r="B43" s="65">
        <f t="shared" si="0"/>
        <v>32</v>
      </c>
      <c r="C43" s="65">
        <f>VLOOKUP(B43,'Oil Production'!$A$13:$I$252,7,FALSE)</f>
        <v>996.1162273256341</v>
      </c>
      <c r="D43" s="70">
        <f t="shared" si="2"/>
        <v>57.886834332738246</v>
      </c>
      <c r="E43" s="65">
        <f>D43*Royalties!$T$6</f>
        <v>364.09718945440034</v>
      </c>
      <c r="F43" s="65">
        <f>MIN((E43&lt;=Royalties!$N$10)*Royalties!$P$9+(E43&gt;=Royalties!$N$10)*(E43&lt;=Royalties!$N$11)*((E43-Royalties!$N$10)*Royalties!$O$10+Royalties!$P$10)+(E43&gt;=Royalties!$N$11)*(E43&lt;=Royalties!$N$12)*((E43-Royalties!$N$11)*Royalties!$O$11+Royalties!$P$11)+(E43&gt;Royalties!$N$12)*((E43-Royalties!$N$12)*Royalties!$O$12+Royalties!$P$12),Royalties!$O$14)</f>
        <v>0.17980200451262424</v>
      </c>
      <c r="G43" s="65">
        <f>(C43&lt;Royalties!$O$15)*(C43-Royalties!$O$15)*Royalties!$O$16</f>
        <v>0</v>
      </c>
      <c r="H43" s="83">
        <f>MAX(Royalties!$O$13,MIN(0.4,F43+G43))</f>
        <v>0.17980200451262424</v>
      </c>
      <c r="I43" s="70">
        <f t="shared" si="7"/>
        <v>0</v>
      </c>
      <c r="J43" s="70">
        <f t="shared" si="3"/>
        <v>57662.015027351212</v>
      </c>
      <c r="K43" s="70">
        <f>SUM(J$12:J43)</f>
        <v>8049065.1375525296</v>
      </c>
      <c r="L43" s="70">
        <f t="shared" si="4"/>
        <v>0.17980200451262424</v>
      </c>
      <c r="M43" s="70">
        <f>MAX(0,J43-I43)*H43+MIN(I43,J43)*Royalties!$O$17</f>
        <v>10367.745886154809</v>
      </c>
      <c r="N43" s="70">
        <f t="shared" si="1"/>
        <v>47294.269141196404</v>
      </c>
      <c r="O43" s="90">
        <f t="shared" si="5"/>
        <v>0</v>
      </c>
      <c r="Q43" s="86"/>
      <c r="R43" s="99">
        <f t="shared" ref="R43:Y43" si="21">AA25</f>
        <v>30</v>
      </c>
      <c r="S43" s="99">
        <f t="shared" si="21"/>
        <v>50</v>
      </c>
      <c r="T43" s="99">
        <f t="shared" si="21"/>
        <v>70</v>
      </c>
      <c r="U43" s="99">
        <f t="shared" si="21"/>
        <v>90</v>
      </c>
      <c r="V43" s="99">
        <f t="shared" si="21"/>
        <v>110</v>
      </c>
      <c r="W43" s="99">
        <f t="shared" si="21"/>
        <v>130</v>
      </c>
      <c r="X43" s="99">
        <f t="shared" si="21"/>
        <v>150</v>
      </c>
      <c r="Y43" s="99">
        <f t="shared" si="21"/>
        <v>180</v>
      </c>
      <c r="Z43" s="82"/>
    </row>
    <row r="44" spans="1:34" ht="57.45" customHeight="1" thickTop="1" thickBot="1" x14ac:dyDescent="0.45">
      <c r="A44">
        <v>33</v>
      </c>
      <c r="B44" s="65">
        <f t="shared" si="0"/>
        <v>33</v>
      </c>
      <c r="C44" s="65">
        <f>VLOOKUP(B44,'Oil Production'!$A$13:$I$252,7,FALSE)</f>
        <v>984.4260721024184</v>
      </c>
      <c r="D44" s="70">
        <f t="shared" si="2"/>
        <v>57.982439145949549</v>
      </c>
      <c r="E44" s="65">
        <f>D44*Royalties!$T$6</f>
        <v>364.69852556458494</v>
      </c>
      <c r="F44" s="65">
        <f>MIN((E44&lt;=Royalties!$N$10)*Royalties!$P$9+(E44&gt;=Royalties!$N$10)*(E44&lt;=Royalties!$N$11)*((E44-Royalties!$N$10)*Royalties!$O$10+Royalties!$P$10)+(E44&gt;=Royalties!$N$11)*(E44&lt;=Royalties!$N$12)*((E44-Royalties!$N$11)*Royalties!$O$11+Royalties!$P$11)+(E44&gt;Royalties!$N$12)*((E44-Royalties!$N$12)*Royalties!$O$12+Royalties!$P$12),Royalties!$O$14)</f>
        <v>0.18022895315085533</v>
      </c>
      <c r="G44" s="65">
        <f>(C44&lt;Royalties!$O$15)*(C44-Royalties!$O$15)*Royalties!$O$16</f>
        <v>0</v>
      </c>
      <c r="H44" s="83">
        <f>MAX(Royalties!$O$13,MIN(0.4,F44+G44))</f>
        <v>0.18022895315085533</v>
      </c>
      <c r="I44" s="70">
        <f t="shared" si="7"/>
        <v>0</v>
      </c>
      <c r="J44" s="70">
        <f t="shared" si="3"/>
        <v>57079.42481936462</v>
      </c>
      <c r="K44" s="70">
        <f>SUM(J$12:J44)</f>
        <v>8106144.5623718938</v>
      </c>
      <c r="L44" s="70">
        <f t="shared" si="4"/>
        <v>0.18022895315085533</v>
      </c>
      <c r="M44" s="70">
        <f>MAX(0,J44-I44)*H44+MIN(I44,J44)*Royalties!$O$17</f>
        <v>10287.364981647035</v>
      </c>
      <c r="N44" s="70">
        <f t="shared" si="1"/>
        <v>46792.059837717585</v>
      </c>
      <c r="O44" s="90">
        <f t="shared" si="5"/>
        <v>0</v>
      </c>
      <c r="P44" s="103" t="s">
        <v>151</v>
      </c>
      <c r="Q44" s="104"/>
      <c r="R44" s="96">
        <f t="shared" ref="R44:Y44" si="22">(AA28-AA$26)/10^6</f>
        <v>0</v>
      </c>
      <c r="S44" s="97">
        <f t="shared" si="22"/>
        <v>0.10213603568061325</v>
      </c>
      <c r="T44" s="97">
        <f t="shared" si="22"/>
        <v>0.17616847625090998</v>
      </c>
      <c r="U44" s="97">
        <f t="shared" si="22"/>
        <v>0.22468091367649218</v>
      </c>
      <c r="V44" s="97">
        <f t="shared" si="22"/>
        <v>0.27349361531191901</v>
      </c>
      <c r="W44" s="97">
        <f t="shared" si="22"/>
        <v>0.30389353145721648</v>
      </c>
      <c r="X44" s="97">
        <f t="shared" si="22"/>
        <v>0.32899010266068413</v>
      </c>
      <c r="Y44" s="98">
        <f t="shared" si="22"/>
        <v>0.35000000000000048</v>
      </c>
      <c r="Z44" s="82"/>
    </row>
    <row r="45" spans="1:34" ht="15" thickTop="1" x14ac:dyDescent="0.4">
      <c r="A45">
        <v>34</v>
      </c>
      <c r="B45" s="65">
        <f t="shared" si="0"/>
        <v>34</v>
      </c>
      <c r="C45" s="65">
        <f>VLOOKUP(B45,'Oil Production'!$A$13:$I$252,7,FALSE)</f>
        <v>912.16407922617509</v>
      </c>
      <c r="D45" s="70">
        <f t="shared" si="2"/>
        <v>58.078201858282725</v>
      </c>
      <c r="E45" s="65">
        <f>D45*Royalties!$T$6</f>
        <v>365.30085483024527</v>
      </c>
      <c r="F45" s="65">
        <f>MIN((E45&lt;=Royalties!$N$10)*Royalties!$P$9+(E45&gt;=Royalties!$N$10)*(E45&lt;=Royalties!$N$11)*((E45-Royalties!$N$10)*Royalties!$O$10+Royalties!$P$10)+(E45&gt;=Royalties!$N$11)*(E45&lt;=Royalties!$N$12)*((E45-Royalties!$N$11)*Royalties!$O$11+Royalties!$P$11)+(E45&gt;Royalties!$N$12)*((E45-Royalties!$N$12)*Royalties!$O$12+Royalties!$P$12),Royalties!$O$14)</f>
        <v>0.18065660692947416</v>
      </c>
      <c r="G45" s="65">
        <f>(C45&lt;Royalties!$O$15)*(C45-Royalties!$O$15)*Royalties!$O$16</f>
        <v>0</v>
      </c>
      <c r="H45" s="83">
        <f>MAX(Royalties!$O$13,MIN(0.4,F45+G45))</f>
        <v>0.18065660692947416</v>
      </c>
      <c r="I45" s="70">
        <f t="shared" si="7"/>
        <v>0</v>
      </c>
      <c r="J45" s="70">
        <f t="shared" si="3"/>
        <v>52976.849521172393</v>
      </c>
      <c r="K45" s="70">
        <f>SUM(J$12:J45)</f>
        <v>8159121.411893066</v>
      </c>
      <c r="L45" s="70">
        <f t="shared" si="4"/>
        <v>0.18065660692947416</v>
      </c>
      <c r="M45" s="70">
        <f>MAX(0,J45-I45)*H45+MIN(I45,J45)*Royalties!$O$17</f>
        <v>9570.6178803083421</v>
      </c>
      <c r="N45" s="70">
        <f t="shared" si="1"/>
        <v>43406.231640864047</v>
      </c>
      <c r="O45" s="90">
        <f t="shared" si="5"/>
        <v>0</v>
      </c>
      <c r="P45" s="105" t="str">
        <f>CONCATENATE("Foregone royalty payments per dollar of R* credit for a new well
(IP30 ",ROUND('Oil Production'!$B$8,0),"bbl/d, Year 1:IP30=",ROUND('Oil Production'!$B$9,2),")"  )</f>
        <v>Foregone royalty payments per dollar of R* credit for a new well
(IP30 702bbl/d, Year 1:IP30=5.48)</v>
      </c>
      <c r="Q45" s="105"/>
      <c r="R45" s="105"/>
      <c r="S45" s="105"/>
      <c r="T45" s="105"/>
      <c r="U45" s="105"/>
      <c r="V45" s="105"/>
      <c r="W45" s="105"/>
      <c r="X45" s="105"/>
      <c r="Y45" s="105"/>
      <c r="Z45" s="82"/>
    </row>
    <row r="46" spans="1:34" x14ac:dyDescent="0.4">
      <c r="A46">
        <v>35</v>
      </c>
      <c r="B46" s="65">
        <f t="shared" si="0"/>
        <v>35</v>
      </c>
      <c r="C46" s="65">
        <f>VLOOKUP(B46,'Oil Production'!$A$13:$I$252,7,FALSE)</f>
        <v>903.50389576816815</v>
      </c>
      <c r="D46" s="70">
        <f t="shared" si="2"/>
        <v>58.174122730521013</v>
      </c>
      <c r="E46" s="65">
        <f>D46*Royalties!$T$6</f>
        <v>365.90417889165838</v>
      </c>
      <c r="F46" s="65">
        <f>MIN((E46&lt;=Royalties!$N$10)*Royalties!$P$9+(E46&gt;=Royalties!$N$10)*(E46&lt;=Royalties!$N$11)*((E46-Royalties!$N$10)*Royalties!$O$10+Royalties!$P$10)+(E46&gt;=Royalties!$N$11)*(E46&lt;=Royalties!$N$12)*((E46-Royalties!$N$11)*Royalties!$O$11+Royalties!$P$11)+(E46&gt;Royalties!$N$12)*((E46-Royalties!$N$12)*Royalties!$O$12+Royalties!$P$12),Royalties!$O$14)</f>
        <v>0.18108496701307747</v>
      </c>
      <c r="G46" s="65">
        <f>(C46&lt;Royalties!$O$15)*(C46-Royalties!$O$15)*Royalties!$O$16</f>
        <v>0</v>
      </c>
      <c r="H46" s="83">
        <f>MAX(Royalties!$O$13,MIN(0.4,F46+G46))</f>
        <v>0.18108496701307747</v>
      </c>
      <c r="I46" s="70">
        <f t="shared" si="7"/>
        <v>0</v>
      </c>
      <c r="J46" s="70">
        <f t="shared" si="3"/>
        <v>52560.546519921278</v>
      </c>
      <c r="K46" s="70">
        <f>SUM(J$12:J46)</f>
        <v>8211681.9584129872</v>
      </c>
      <c r="L46" s="70">
        <f t="shared" si="4"/>
        <v>0.18108496701307747</v>
      </c>
      <c r="M46" s="70">
        <f>MAX(0,J46-I46)*H46+MIN(I46,J46)*Royalties!$O$17</f>
        <v>9517.9248327492678</v>
      </c>
      <c r="N46" s="70">
        <f t="shared" si="1"/>
        <v>43042.62168717201</v>
      </c>
      <c r="O46" s="90">
        <f t="shared" si="5"/>
        <v>0</v>
      </c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82"/>
    </row>
    <row r="47" spans="1:34" x14ac:dyDescent="0.4">
      <c r="A47">
        <v>36</v>
      </c>
      <c r="B47" s="65">
        <f t="shared" si="0"/>
        <v>36</v>
      </c>
      <c r="C47" s="65">
        <f>VLOOKUP(B47,'Oil Production'!$A$13:$I$252,7,FALSE)</f>
        <v>866.38009405176854</v>
      </c>
      <c r="D47" s="70">
        <f t="shared" si="2"/>
        <v>58.270202023878355</v>
      </c>
      <c r="E47" s="65">
        <f>D47*Royalties!$T$6</f>
        <v>366.50849939181035</v>
      </c>
      <c r="F47" s="65">
        <f>MIN((E47&lt;=Royalties!$N$10)*Royalties!$P$9+(E47&gt;=Royalties!$N$10)*(E47&lt;=Royalties!$N$11)*((E47-Royalties!$N$10)*Royalties!$O$10+Royalties!$P$10)+(E47&gt;=Royalties!$N$11)*(E47&lt;=Royalties!$N$12)*((E47-Royalties!$N$11)*Royalties!$O$11+Royalties!$P$11)+(E47&gt;Royalties!$N$12)*((E47-Royalties!$N$12)*Royalties!$O$12+Royalties!$P$12),Royalties!$O$14)</f>
        <v>0.18151403456818538</v>
      </c>
      <c r="G47" s="65">
        <f>(C47&lt;Royalties!$O$15)*(C47-Royalties!$O$15)*Royalties!$O$16</f>
        <v>0</v>
      </c>
      <c r="H47" s="83">
        <f>MAX(Royalties!$O$13,MIN(0.4,F47+G47))</f>
        <v>0.18151403456818538</v>
      </c>
      <c r="I47" s="70">
        <f t="shared" si="7"/>
        <v>0</v>
      </c>
      <c r="J47" s="70">
        <f t="shared" si="3"/>
        <v>50484.143109863282</v>
      </c>
      <c r="K47" s="70">
        <f>SUM(J$12:J47)</f>
        <v>8262166.1015228508</v>
      </c>
      <c r="L47" s="70">
        <f t="shared" si="4"/>
        <v>0.18151403456818541</v>
      </c>
      <c r="M47" s="70">
        <f>MAX(0,J47-I47)*H47+MIN(I47,J47)*Royalties!$O$17</f>
        <v>9163.5804975889423</v>
      </c>
      <c r="N47" s="70">
        <f t="shared" si="1"/>
        <v>41320.562612274342</v>
      </c>
      <c r="O47" s="90">
        <f t="shared" si="5"/>
        <v>0</v>
      </c>
      <c r="P47" s="95"/>
      <c r="Z47" s="82"/>
    </row>
    <row r="48" spans="1:34" x14ac:dyDescent="0.4">
      <c r="A48">
        <v>37</v>
      </c>
      <c r="B48" s="65">
        <f t="shared" si="0"/>
        <v>37</v>
      </c>
      <c r="C48" s="65">
        <f>VLOOKUP(B48,'Oil Production'!$A$13:$I$252,7,FALSE)</f>
        <v>752.61364925652742</v>
      </c>
      <c r="D48" s="70">
        <f t="shared" si="2"/>
        <v>58.366440000000104</v>
      </c>
      <c r="E48" s="65">
        <f>D48*Royalties!$T$6</f>
        <v>367.11381797640064</v>
      </c>
      <c r="F48" s="65">
        <f>MIN((E48&lt;=Royalties!$N$10)*Royalties!$P$9+(E48&gt;=Royalties!$N$10)*(E48&lt;=Royalties!$N$11)*((E48-Royalties!$N$10)*Royalties!$O$10+Royalties!$P$10)+(E48&gt;=Royalties!$N$11)*(E48&lt;=Royalties!$N$12)*((E48-Royalties!$N$11)*Royalties!$O$11+Royalties!$P$11)+(E48&gt;Royalties!$N$12)*((E48-Royalties!$N$12)*Royalties!$O$12+Royalties!$P$12),Royalties!$O$14)</f>
        <v>0.18194381076324445</v>
      </c>
      <c r="G48" s="65">
        <f>(C48&lt;Royalties!$O$15)*(C48-Royalties!$O$15)*Royalties!$O$16</f>
        <v>0</v>
      </c>
      <c r="H48" s="83">
        <f>MAX(Royalties!$O$13,MIN(0.4,F48+G48))</f>
        <v>0.18194381076324445</v>
      </c>
      <c r="I48" s="70">
        <f t="shared" si="7"/>
        <v>0</v>
      </c>
      <c r="J48" s="70">
        <f t="shared" si="3"/>
        <v>43927.379402512233</v>
      </c>
      <c r="K48" s="70">
        <f>SUM(J$12:J48)</f>
        <v>8306093.4809253635</v>
      </c>
      <c r="L48" s="70">
        <f t="shared" si="4"/>
        <v>0.18194381076324445</v>
      </c>
      <c r="M48" s="70">
        <f>MAX(0,J48-I48)*H48+MIN(I48,J48)*Royalties!$O$17</f>
        <v>7992.3148053359282</v>
      </c>
      <c r="N48" s="70">
        <f t="shared" si="1"/>
        <v>35935.064597176308</v>
      </c>
      <c r="O48" s="90">
        <f t="shared" si="5"/>
        <v>0</v>
      </c>
      <c r="P48" s="95"/>
      <c r="Z48" s="82"/>
    </row>
    <row r="49" spans="1:27" x14ac:dyDescent="0.4">
      <c r="A49">
        <v>38</v>
      </c>
      <c r="B49" s="65">
        <f t="shared" si="0"/>
        <v>38</v>
      </c>
      <c r="C49" s="65">
        <f>VLOOKUP(B49,'Oil Production'!$A$13:$I$252,7,FALSE)</f>
        <v>802.13458383412217</v>
      </c>
      <c r="D49" s="70">
        <f t="shared" si="2"/>
        <v>58.462836920963753</v>
      </c>
      <c r="E49" s="65">
        <f>D49*Royalties!$T$6</f>
        <v>367.72013629384702</v>
      </c>
      <c r="F49" s="65">
        <f>MIN((E49&lt;=Royalties!$N$10)*Royalties!$P$9+(E49&gt;=Royalties!$N$10)*(E49&lt;=Royalties!$N$11)*((E49-Royalties!$N$10)*Royalties!$O$10+Royalties!$P$10)+(E49&gt;=Royalties!$N$11)*(E49&lt;=Royalties!$N$12)*((E49-Royalties!$N$11)*Royalties!$O$11+Royalties!$P$11)+(E49&gt;Royalties!$N$12)*((E49-Royalties!$N$12)*Royalties!$O$12+Royalties!$P$12),Royalties!$O$14)</f>
        <v>0.1823742967686314</v>
      </c>
      <c r="G49" s="65">
        <f>(C49&lt;Royalties!$O$15)*(C49-Royalties!$O$15)*Royalties!$O$16</f>
        <v>0</v>
      </c>
      <c r="H49" s="83">
        <f>MAX(Royalties!$O$13,MIN(0.4,F49+G49))</f>
        <v>0.1823742967686314</v>
      </c>
      <c r="I49" s="70">
        <f t="shared" si="7"/>
        <v>0</v>
      </c>
      <c r="J49" s="70">
        <f t="shared" si="3"/>
        <v>46895.063363359412</v>
      </c>
      <c r="K49" s="70">
        <f>SUM(J$12:J49)</f>
        <v>8352988.5442887228</v>
      </c>
      <c r="L49" s="70">
        <f t="shared" si="4"/>
        <v>0.1823742967686314</v>
      </c>
      <c r="M49" s="70">
        <f>MAX(0,J49-I49)*H49+MIN(I49,J49)*Royalties!$O$17</f>
        <v>8552.4542028130836</v>
      </c>
      <c r="N49" s="70">
        <f t="shared" si="1"/>
        <v>38342.60916054633</v>
      </c>
      <c r="O49" s="90">
        <f t="shared" si="5"/>
        <v>0</v>
      </c>
      <c r="P49" s="95"/>
      <c r="Z49" s="82"/>
    </row>
    <row r="50" spans="1:27" x14ac:dyDescent="0.4">
      <c r="A50">
        <v>39</v>
      </c>
      <c r="B50" s="65">
        <f t="shared" si="0"/>
        <v>39</v>
      </c>
      <c r="C50" s="65">
        <f>VLOOKUP(B50,'Oil Production'!$A$13:$I$252,7,FALSE)</f>
        <v>746.95506414878764</v>
      </c>
      <c r="D50" s="70">
        <f t="shared" si="2"/>
        <v>58.559393049279628</v>
      </c>
      <c r="E50" s="65">
        <f>D50*Royalties!$T$6</f>
        <v>368.32745599528948</v>
      </c>
      <c r="F50" s="65">
        <f>MIN((E50&lt;=Royalties!$N$10)*Royalties!$P$9+(E50&gt;=Royalties!$N$10)*(E50&lt;=Royalties!$N$11)*((E50-Royalties!$N$10)*Royalties!$O$10+Royalties!$P$10)+(E50&gt;=Royalties!$N$11)*(E50&lt;=Royalties!$N$12)*((E50-Royalties!$N$11)*Royalties!$O$11+Royalties!$P$11)+(E50&gt;Royalties!$N$12)*((E50-Royalties!$N$12)*Royalties!$O$12+Royalties!$P$12),Royalties!$O$14)</f>
        <v>0.18280549375665556</v>
      </c>
      <c r="G50" s="65">
        <f>(C50&lt;Royalties!$O$15)*(C50-Royalties!$O$15)*Royalties!$O$16</f>
        <v>0</v>
      </c>
      <c r="H50" s="83">
        <f>MAX(Royalties!$O$13,MIN(0.4,F50+G50))</f>
        <v>0.18280549375665556</v>
      </c>
      <c r="I50" s="70">
        <f t="shared" si="7"/>
        <v>0</v>
      </c>
      <c r="J50" s="70">
        <f t="shared" si="3"/>
        <v>43741.235191638734</v>
      </c>
      <c r="K50" s="70">
        <f>SUM(J$12:J50)</f>
        <v>8396729.7794803623</v>
      </c>
      <c r="L50" s="70">
        <f t="shared" si="4"/>
        <v>0.18280549375665556</v>
      </c>
      <c r="M50" s="70">
        <f>MAX(0,J50-I50)*H50+MIN(I50,J50)*Royalties!$O$17</f>
        <v>7996.1380967335172</v>
      </c>
      <c r="N50" s="70">
        <f t="shared" si="1"/>
        <v>35745.097094905213</v>
      </c>
      <c r="O50" s="90">
        <f t="shared" si="5"/>
        <v>0</v>
      </c>
      <c r="P50" s="95"/>
      <c r="Z50" s="82"/>
    </row>
    <row r="51" spans="1:27" x14ac:dyDescent="0.4">
      <c r="A51">
        <v>40</v>
      </c>
      <c r="B51" s="65">
        <f t="shared" si="0"/>
        <v>40</v>
      </c>
      <c r="C51" s="65">
        <f>VLOOKUP(B51,'Oil Production'!$A$13:$I$252,7,FALSE)</f>
        <v>743.3702567408036</v>
      </c>
      <c r="D51" s="70">
        <f t="shared" si="2"/>
        <v>58.656108647891614</v>
      </c>
      <c r="E51" s="65">
        <f>D51*Royalties!$T$6</f>
        <v>368.93577873459515</v>
      </c>
      <c r="F51" s="65">
        <f>MIN((E51&lt;=Royalties!$N$10)*Royalties!$P$9+(E51&gt;=Royalties!$N$10)*(E51&lt;=Royalties!$N$11)*((E51-Royalties!$N$10)*Royalties!$O$10+Royalties!$P$10)+(E51&gt;=Royalties!$N$11)*(E51&lt;=Royalties!$N$12)*((E51-Royalties!$N$11)*Royalties!$O$11+Royalties!$P$11)+(E51&gt;Royalties!$N$12)*((E51-Royalties!$N$12)*Royalties!$O$12+Royalties!$P$12),Royalties!$O$14)</f>
        <v>0.18323740290156257</v>
      </c>
      <c r="G51" s="65">
        <f>(C51&lt;Royalties!$O$15)*(C51-Royalties!$O$15)*Royalties!$O$16</f>
        <v>0</v>
      </c>
      <c r="H51" s="83">
        <f>MAX(Royalties!$O$13,MIN(0.4,F51+G51))</f>
        <v>0.18323740290156257</v>
      </c>
      <c r="I51" s="70">
        <f t="shared" si="7"/>
        <v>0</v>
      </c>
      <c r="J51" s="70">
        <f t="shared" si="3"/>
        <v>43603.206544999659</v>
      </c>
      <c r="K51" s="70">
        <f>SUM(J$12:J51)</f>
        <v>8440332.9860253613</v>
      </c>
      <c r="L51" s="70">
        <f t="shared" si="4"/>
        <v>0.18323740290156257</v>
      </c>
      <c r="M51" s="70">
        <f>MAX(0,J51-I51)*H51+MIN(I51,J51)*Royalties!$O$17</f>
        <v>7989.7383254861525</v>
      </c>
      <c r="N51" s="70">
        <f t="shared" si="1"/>
        <v>35613.46821951351</v>
      </c>
      <c r="O51" s="90">
        <f t="shared" si="5"/>
        <v>0</v>
      </c>
      <c r="P51" s="95"/>
      <c r="Z51" s="82"/>
    </row>
    <row r="52" spans="1:27" x14ac:dyDescent="0.4">
      <c r="A52">
        <v>41</v>
      </c>
      <c r="B52" s="65">
        <f t="shared" si="0"/>
        <v>41</v>
      </c>
      <c r="C52" s="65">
        <f>VLOOKUP(B52,'Oil Production'!$A$13:$I$252,7,FALSE)</f>
        <v>693.41015914967284</v>
      </c>
      <c r="D52" s="70">
        <f t="shared" si="2"/>
        <v>58.752983980177873</v>
      </c>
      <c r="E52" s="65">
        <f>D52*Royalties!$T$6</f>
        <v>369.54510616836262</v>
      </c>
      <c r="F52" s="65">
        <f>MIN((E52&lt;=Royalties!$N$10)*Royalties!$P$9+(E52&gt;=Royalties!$N$10)*(E52&lt;=Royalties!$N$11)*((E52-Royalties!$N$10)*Royalties!$O$10+Royalties!$P$10)+(E52&gt;=Royalties!$N$11)*(E52&lt;=Royalties!$N$12)*((E52-Royalties!$N$11)*Royalties!$O$11+Royalties!$P$11)+(E52&gt;Royalties!$N$12)*((E52-Royalties!$N$12)*Royalties!$O$12+Royalties!$P$12),Royalties!$O$14)</f>
        <v>0.18367002537953747</v>
      </c>
      <c r="G52" s="65">
        <f>(C52&lt;Royalties!$O$15)*(C52-Royalties!$O$15)*Royalties!$O$16</f>
        <v>0</v>
      </c>
      <c r="H52" s="83">
        <f>MAX(Royalties!$O$13,MIN(0.4,F52+G52))</f>
        <v>0.18367002537953747</v>
      </c>
      <c r="I52" s="70">
        <f t="shared" si="7"/>
        <v>0</v>
      </c>
      <c r="J52" s="70">
        <f t="shared" si="3"/>
        <v>40739.915972213319</v>
      </c>
      <c r="K52" s="70">
        <f>SUM(J$12:J52)</f>
        <v>8481072.9019975755</v>
      </c>
      <c r="L52" s="70">
        <f t="shared" si="4"/>
        <v>0.18367002537953747</v>
      </c>
      <c r="M52" s="70">
        <f>MAX(0,J52-I52)*H52+MIN(I52,J52)*Royalties!$O$17</f>
        <v>7482.7014005766441</v>
      </c>
      <c r="N52" s="70">
        <f t="shared" si="1"/>
        <v>33257.214571636672</v>
      </c>
      <c r="O52" s="90">
        <f t="shared" si="5"/>
        <v>0</v>
      </c>
      <c r="P52" s="95"/>
      <c r="Z52" s="82"/>
    </row>
    <row r="53" spans="1:27" x14ac:dyDescent="0.4">
      <c r="A53">
        <v>42</v>
      </c>
      <c r="B53" s="65">
        <f t="shared" si="0"/>
        <v>42</v>
      </c>
      <c r="C53" s="65">
        <f>VLOOKUP(B53,'Oil Production'!$A$13:$I$252,7,FALSE)</f>
        <v>691.20362060188199</v>
      </c>
      <c r="D53" s="70">
        <f t="shared" si="2"/>
        <v>58.850019309951556</v>
      </c>
      <c r="E53" s="65">
        <f>D53*Royalties!$T$6</f>
        <v>370.1554399559264</v>
      </c>
      <c r="F53" s="65">
        <f>MIN((E53&lt;=Royalties!$N$10)*Royalties!$P$9+(E53&gt;=Royalties!$N$10)*(E53&lt;=Royalties!$N$11)*((E53-Royalties!$N$10)*Royalties!$O$10+Royalties!$P$10)+(E53&gt;=Royalties!$N$11)*(E53&lt;=Royalties!$N$12)*((E53-Royalties!$N$11)*Royalties!$O$11+Royalties!$P$11)+(E53&gt;Royalties!$N$12)*((E53-Royalties!$N$12)*Royalties!$O$12+Royalties!$P$12),Royalties!$O$14)</f>
        <v>0.18410336236870775</v>
      </c>
      <c r="G53" s="65">
        <f>(C53&lt;Royalties!$O$15)*(C53-Royalties!$O$15)*Royalties!$O$16</f>
        <v>0</v>
      </c>
      <c r="H53" s="83">
        <f>MAX(Royalties!$O$13,MIN(0.4,F53+G53))</f>
        <v>0.18410336236870775</v>
      </c>
      <c r="I53" s="70">
        <f t="shared" si="7"/>
        <v>0</v>
      </c>
      <c r="J53" s="70">
        <f t="shared" si="3"/>
        <v>40677.346419529182</v>
      </c>
      <c r="K53" s="70">
        <f>SUM(J$12:J53)</f>
        <v>8521750.2484171055</v>
      </c>
      <c r="L53" s="70">
        <f t="shared" si="4"/>
        <v>0.18410336236870775</v>
      </c>
      <c r="M53" s="70">
        <f>MAX(0,J53-I53)*H53+MIN(I53,J53)*Royalties!$O$17</f>
        <v>7488.836248072038</v>
      </c>
      <c r="N53" s="70">
        <f t="shared" si="1"/>
        <v>33188.510171457143</v>
      </c>
      <c r="O53" s="90">
        <f t="shared" si="5"/>
        <v>0</v>
      </c>
      <c r="P53" s="95"/>
      <c r="Z53" s="82"/>
      <c r="AA53" s="84"/>
    </row>
    <row r="54" spans="1:27" ht="14.6" customHeight="1" x14ac:dyDescent="0.4">
      <c r="A54">
        <v>43</v>
      </c>
      <c r="B54" s="65">
        <f t="shared" si="0"/>
        <v>43</v>
      </c>
      <c r="C54" s="65">
        <f>VLOOKUP(B54,'Oil Production'!$A$13:$I$252,7,FALSE)</f>
        <v>666.90053411276313</v>
      </c>
      <c r="D54" s="70">
        <f t="shared" si="2"/>
        <v>58.947214901461514</v>
      </c>
      <c r="E54" s="65">
        <f>D54*Royalties!$T$6</f>
        <v>370.76678175936166</v>
      </c>
      <c r="F54" s="65">
        <f>MIN((E54&lt;=Royalties!$N$10)*Royalties!$P$9+(E54&gt;=Royalties!$N$10)*(E54&lt;=Royalties!$N$11)*((E54-Royalties!$N$10)*Royalties!$O$10+Royalties!$P$10)+(E54&gt;=Royalties!$N$11)*(E54&lt;=Royalties!$N$12)*((E54-Royalties!$N$11)*Royalties!$O$11+Royalties!$P$11)+(E54&gt;Royalties!$N$12)*((E54-Royalties!$N$12)*Royalties!$O$12+Royalties!$P$12),Royalties!$O$14)</f>
        <v>0.18453741504914678</v>
      </c>
      <c r="G54" s="65">
        <f>(C54&lt;Royalties!$O$15)*(C54-Royalties!$O$15)*Royalties!$O$16</f>
        <v>0</v>
      </c>
      <c r="H54" s="83">
        <f>MAX(Royalties!$O$13,MIN(0.4,F54+G54))</f>
        <v>0.18453741504914678</v>
      </c>
      <c r="I54" s="70">
        <f t="shared" si="7"/>
        <v>0</v>
      </c>
      <c r="J54" s="70">
        <f t="shared" si="3"/>
        <v>39311.92910224451</v>
      </c>
      <c r="K54" s="70">
        <f>SUM(J$12:J54)</f>
        <v>8561062.1775193494</v>
      </c>
      <c r="L54" s="70">
        <f t="shared" si="4"/>
        <v>0.18453741504914678</v>
      </c>
      <c r="M54" s="70">
        <f>MAX(0,J54-I54)*H54+MIN(I54,J54)*Royalties!$O$17</f>
        <v>7254.5217771235275</v>
      </c>
      <c r="N54" s="70">
        <f t="shared" si="1"/>
        <v>32057.407325120985</v>
      </c>
      <c r="O54" s="90">
        <f t="shared" si="5"/>
        <v>0</v>
      </c>
      <c r="P54" s="93" t="str">
        <f>CONCATENATE("Foregone total royalty payments (millions) for R* credit amounts (rows) by oil price (columns) for a new well
(IP30=",ROUND('Oil Production'!$B$8,0),"bbl/d, Year 1:IP30=",ROUND('Oil Production'!$B$9,2),")"  )</f>
        <v>Foregone total royalty payments (millions) for R* credit amounts (rows) by oil price (columns) for a new well
(IP30=702bbl/d, Year 1:IP30=5.48)</v>
      </c>
      <c r="Z54" s="82"/>
    </row>
    <row r="55" spans="1:27" x14ac:dyDescent="0.4">
      <c r="A55">
        <v>44</v>
      </c>
      <c r="B55" s="65">
        <f t="shared" si="0"/>
        <v>44</v>
      </c>
      <c r="C55" s="65">
        <f>VLOOKUP(B55,'Oil Production'!$A$13:$I$252,7,FALSE)</f>
        <v>623.50979049003217</v>
      </c>
      <c r="D55" s="70">
        <f t="shared" si="2"/>
        <v>59.04457101939304</v>
      </c>
      <c r="E55" s="65">
        <f>D55*Royalties!$T$6</f>
        <v>371.37913324348852</v>
      </c>
      <c r="F55" s="65">
        <f>MIN((E55&lt;=Royalties!$N$10)*Royalties!$P$9+(E55&gt;=Royalties!$N$10)*(E55&lt;=Royalties!$N$11)*((E55-Royalties!$N$10)*Royalties!$O$10+Royalties!$P$10)+(E55&gt;=Royalties!$N$11)*(E55&lt;=Royalties!$N$12)*((E55-Royalties!$N$11)*Royalties!$O$11+Royalties!$P$11)+(E55&gt;Royalties!$N$12)*((E55-Royalties!$N$12)*Royalties!$O$12+Royalties!$P$12),Royalties!$O$14)</f>
        <v>0.18497218460287687</v>
      </c>
      <c r="G55" s="65">
        <f>(C55&lt;Royalties!$O$15)*(C55-Royalties!$O$15)*Royalties!$O$16</f>
        <v>0</v>
      </c>
      <c r="H55" s="83">
        <f>MAX(Royalties!$O$13,MIN(0.4,F55+G55))</f>
        <v>0.18497218460287687</v>
      </c>
      <c r="I55" s="70">
        <f t="shared" si="7"/>
        <v>0</v>
      </c>
      <c r="J55" s="70">
        <f t="shared" si="3"/>
        <v>36814.868105875583</v>
      </c>
      <c r="K55" s="70">
        <f>SUM(J$12:J55)</f>
        <v>8597877.0456252247</v>
      </c>
      <c r="L55" s="70">
        <f t="shared" si="4"/>
        <v>0.18497218460287687</v>
      </c>
      <c r="M55" s="70">
        <f>MAX(0,J55-I55)*H55+MIN(I55,J55)*Royalties!$O$17</f>
        <v>6809.7265794105824</v>
      </c>
      <c r="N55" s="70">
        <f t="shared" si="1"/>
        <v>30005.141526464999</v>
      </c>
      <c r="O55" s="90">
        <f t="shared" si="5"/>
        <v>0</v>
      </c>
      <c r="P55" s="93"/>
      <c r="Z55" s="82"/>
    </row>
    <row r="56" spans="1:27" x14ac:dyDescent="0.4">
      <c r="A56">
        <v>45</v>
      </c>
      <c r="B56" s="65">
        <f t="shared" si="0"/>
        <v>45</v>
      </c>
      <c r="C56" s="65">
        <f>VLOOKUP(B56,'Oil Production'!$A$13:$I$252,7,FALSE)</f>
        <v>622.89431614504429</v>
      </c>
      <c r="D56" s="70">
        <f t="shared" si="2"/>
        <v>59.14208792886857</v>
      </c>
      <c r="E56" s="65">
        <f>D56*Royalties!$T$6</f>
        <v>371.99249607587683</v>
      </c>
      <c r="F56" s="65">
        <f>MIN((E56&lt;=Royalties!$N$10)*Royalties!$P$9+(E56&gt;=Royalties!$N$10)*(E56&lt;=Royalties!$N$11)*((E56-Royalties!$N$10)*Royalties!$O$10+Royalties!$P$10)+(E56&gt;=Royalties!$N$11)*(E56&lt;=Royalties!$N$12)*((E56-Royalties!$N$11)*Royalties!$O$11+Royalties!$P$11)+(E56&gt;Royalties!$N$12)*((E56-Royalties!$N$12)*Royalties!$O$12+Royalties!$P$12),Royalties!$O$14)</f>
        <v>0.18540767221387255</v>
      </c>
      <c r="G56" s="65">
        <f>(C56&lt;Royalties!$O$15)*(C56-Royalties!$O$15)*Royalties!$O$16</f>
        <v>0</v>
      </c>
      <c r="H56" s="83">
        <f>MAX(Royalties!$O$13,MIN(0.4,F56+G56))</f>
        <v>0.18540767221387255</v>
      </c>
      <c r="I56" s="70">
        <f t="shared" si="7"/>
        <v>0</v>
      </c>
      <c r="J56" s="70">
        <f t="shared" si="3"/>
        <v>36839.270415842664</v>
      </c>
      <c r="K56" s="70">
        <f>SUM(J$12:J56)</f>
        <v>8634716.3160410672</v>
      </c>
      <c r="L56" s="70">
        <f t="shared" si="4"/>
        <v>0.18540767221387255</v>
      </c>
      <c r="M56" s="70">
        <f>MAX(0,J56-I56)*H56+MIN(I56,J56)*Royalties!$O$17</f>
        <v>6830.2833738587688</v>
      </c>
      <c r="N56" s="70">
        <f t="shared" si="1"/>
        <v>30008.987041983895</v>
      </c>
      <c r="O56" s="90">
        <f t="shared" si="5"/>
        <v>0</v>
      </c>
      <c r="P56" s="94"/>
      <c r="Z56" s="82"/>
    </row>
    <row r="57" spans="1:27" x14ac:dyDescent="0.4">
      <c r="A57">
        <v>46</v>
      </c>
      <c r="B57" s="65">
        <f t="shared" si="0"/>
        <v>46</v>
      </c>
      <c r="C57" s="65">
        <f>VLOOKUP(B57,'Oil Production'!$A$13:$I$252,7,FALSE)</f>
        <v>583.16552552068606</v>
      </c>
      <c r="D57" s="70">
        <f t="shared" si="2"/>
        <v>59.239765895448414</v>
      </c>
      <c r="E57" s="65">
        <f>D57*Royalties!$T$6</f>
        <v>372.60687192685037</v>
      </c>
      <c r="F57" s="65">
        <f>MIN((E57&lt;=Royalties!$N$10)*Royalties!$P$9+(E57&gt;=Royalties!$N$10)*(E57&lt;=Royalties!$N$11)*((E57-Royalties!$N$10)*Royalties!$O$10+Royalties!$P$10)+(E57&gt;=Royalties!$N$11)*(E57&lt;=Royalties!$N$12)*((E57-Royalties!$N$11)*Royalties!$O$11+Royalties!$P$11)+(E57&gt;Royalties!$N$12)*((E57-Royalties!$N$12)*Royalties!$O$12+Royalties!$P$12),Royalties!$O$14)</f>
        <v>0.18584387906806377</v>
      </c>
      <c r="G57" s="65">
        <f>(C57&lt;Royalties!$O$15)*(C57-Royalties!$O$15)*Royalties!$O$16</f>
        <v>0</v>
      </c>
      <c r="H57" s="83">
        <f>MAX(Royalties!$O$13,MIN(0.4,F57+G57))</f>
        <v>0.18584387906806377</v>
      </c>
      <c r="I57" s="70">
        <f t="shared" si="7"/>
        <v>0</v>
      </c>
      <c r="J57" s="70">
        <f t="shared" si="3"/>
        <v>34546.589210141588</v>
      </c>
      <c r="K57" s="70">
        <f>SUM(J$12:J57)</f>
        <v>8669262.9052512087</v>
      </c>
      <c r="L57" s="70">
        <f t="shared" si="4"/>
        <v>0.18584387906806377</v>
      </c>
      <c r="M57" s="70">
        <f>MAX(0,J57-I57)*H57+MIN(I57,J57)*Royalties!$O$17</f>
        <v>6420.27214738363</v>
      </c>
      <c r="N57" s="70">
        <f t="shared" si="1"/>
        <v>28126.31706275796</v>
      </c>
      <c r="O57" s="70">
        <f t="shared" si="5"/>
        <v>0</v>
      </c>
    </row>
    <row r="58" spans="1:27" x14ac:dyDescent="0.4">
      <c r="A58">
        <v>47</v>
      </c>
      <c r="B58" s="65">
        <f t="shared" si="0"/>
        <v>47</v>
      </c>
      <c r="C58" s="65">
        <f>VLOOKUP(B58,'Oil Production'!$A$13:$I$252,7,FALSE)</f>
        <v>583.35702057965682</v>
      </c>
      <c r="D58" s="70">
        <f t="shared" si="2"/>
        <v>59.337605185131466</v>
      </c>
      <c r="E58" s="65">
        <f>D58*Royalties!$T$6</f>
        <v>373.22226246949174</v>
      </c>
      <c r="F58" s="65">
        <f>MIN((E58&lt;=Royalties!$N$10)*Royalties!$P$9+(E58&gt;=Royalties!$N$10)*(E58&lt;=Royalties!$N$11)*((E58-Royalties!$N$10)*Royalties!$O$10+Royalties!$P$10)+(E58&gt;=Royalties!$N$11)*(E58&lt;=Royalties!$N$12)*((E58-Royalties!$N$11)*Royalties!$O$11+Royalties!$P$11)+(E58&gt;Royalties!$N$12)*((E58-Royalties!$N$12)*Royalties!$O$12+Royalties!$P$12),Royalties!$O$14)</f>
        <v>0.18628080635333916</v>
      </c>
      <c r="G58" s="65">
        <f>(C58&lt;Royalties!$O$15)*(C58-Royalties!$O$15)*Royalties!$O$16</f>
        <v>0</v>
      </c>
      <c r="H58" s="83">
        <f>MAX(Royalties!$O$13,MIN(0.4,F58+G58))</f>
        <v>0.18628080635333916</v>
      </c>
      <c r="I58" s="70">
        <f t="shared" si="7"/>
        <v>0</v>
      </c>
      <c r="J58" s="70">
        <f t="shared" si="3"/>
        <v>34615.008569130288</v>
      </c>
      <c r="K58" s="70">
        <f>SUM(J$12:J58)</f>
        <v>8703877.9138203394</v>
      </c>
      <c r="L58" s="70">
        <f t="shared" si="4"/>
        <v>0.18628080635333916</v>
      </c>
      <c r="M58" s="70">
        <f>MAX(0,J58-I58)*H58+MIN(I58,J58)*Royalties!$O$17</f>
        <v>6448.1117081853345</v>
      </c>
      <c r="N58" s="70">
        <f t="shared" si="1"/>
        <v>28166.896860944955</v>
      </c>
      <c r="O58" s="70">
        <f t="shared" si="5"/>
        <v>0</v>
      </c>
    </row>
    <row r="59" spans="1:27" x14ac:dyDescent="0.4">
      <c r="A59">
        <v>48</v>
      </c>
      <c r="B59" s="65">
        <f t="shared" si="0"/>
        <v>48</v>
      </c>
      <c r="C59" s="65">
        <f>VLOOKUP(B59,'Oil Production'!$A$13:$I$252,7,FALSE)</f>
        <v>564.78016939008376</v>
      </c>
      <c r="D59" s="70">
        <f t="shared" si="2"/>
        <v>59.435606064355952</v>
      </c>
      <c r="E59" s="65">
        <f>D59*Royalties!$T$6</f>
        <v>373.83866937964672</v>
      </c>
      <c r="F59" s="65">
        <f>MIN((E59&lt;=Royalties!$N$10)*Royalties!$P$9+(E59&gt;=Royalties!$N$10)*(E59&lt;=Royalties!$N$11)*((E59-Royalties!$N$10)*Royalties!$O$10+Royalties!$P$10)+(E59&gt;=Royalties!$N$11)*(E59&lt;=Royalties!$N$12)*((E59-Royalties!$N$11)*Royalties!$O$11+Royalties!$P$11)+(E59&gt;Royalties!$N$12)*((E59-Royalties!$N$12)*Royalties!$O$12+Royalties!$P$12),Royalties!$O$14)</f>
        <v>0.18671845525954917</v>
      </c>
      <c r="G59" s="65">
        <f>(C59&lt;Royalties!$O$15)*(C59-Royalties!$O$15)*Royalties!$O$16</f>
        <v>0</v>
      </c>
      <c r="H59" s="83">
        <f>MAX(Royalties!$O$13,MIN(0.4,F59+G59))</f>
        <v>0.18671845525954917</v>
      </c>
      <c r="I59" s="70">
        <f t="shared" si="7"/>
        <v>0</v>
      </c>
      <c r="J59" s="70">
        <f t="shared" si="3"/>
        <v>33568.051660829246</v>
      </c>
      <c r="K59" s="70">
        <f>SUM(J$12:J59)</f>
        <v>8737445.9654811695</v>
      </c>
      <c r="L59" s="70">
        <f t="shared" si="4"/>
        <v>0.18671845525954917</v>
      </c>
      <c r="M59" s="70">
        <f>MAX(0,J59-I59)*H59+MIN(I59,J59)*Royalties!$O$17</f>
        <v>6267.7747521827805</v>
      </c>
      <c r="N59" s="70">
        <f t="shared" si="1"/>
        <v>27300.276908646465</v>
      </c>
      <c r="O59" s="70">
        <f t="shared" si="5"/>
        <v>0</v>
      </c>
    </row>
    <row r="60" spans="1:27" x14ac:dyDescent="0.4">
      <c r="A60">
        <v>49</v>
      </c>
      <c r="B60" s="65">
        <f t="shared" si="0"/>
        <v>49</v>
      </c>
      <c r="C60" s="65">
        <f>VLOOKUP(B60,'Oil Production'!$A$13:$I$252,7,FALSE)</f>
        <v>494.93066651071422</v>
      </c>
      <c r="D60" s="70">
        <f t="shared" si="2"/>
        <v>59.533768800000139</v>
      </c>
      <c r="E60" s="65">
        <f>D60*Royalties!$T$6</f>
        <v>374.45609433592887</v>
      </c>
      <c r="F60" s="65">
        <f>MIN((E60&lt;=Royalties!$N$10)*Royalties!$P$9+(E60&gt;=Royalties!$N$10)*(E60&lt;=Royalties!$N$11)*((E60-Royalties!$N$10)*Royalties!$O$10+Royalties!$P$10)+(E60&gt;=Royalties!$N$11)*(E60&lt;=Royalties!$N$12)*((E60-Royalties!$N$11)*Royalties!$O$11+Royalties!$P$11)+(E60&gt;Royalties!$N$12)*((E60-Royalties!$N$12)*Royalties!$O$12+Royalties!$P$12),Royalties!$O$14)</f>
        <v>0.18715682697850949</v>
      </c>
      <c r="G60" s="65">
        <f>(C60&lt;Royalties!$O$15)*(C60-Royalties!$O$15)*Royalties!$O$16</f>
        <v>0</v>
      </c>
      <c r="H60" s="83">
        <f>MAX(Royalties!$O$13,MIN(0.4,F60+G60))</f>
        <v>0.18715682697850949</v>
      </c>
      <c r="I60" s="70">
        <f t="shared" si="7"/>
        <v>0</v>
      </c>
      <c r="J60" s="70">
        <f t="shared" si="3"/>
        <v>29465.087872078831</v>
      </c>
      <c r="K60" s="70">
        <f>SUM(J$12:J60)</f>
        <v>8766911.0533532482</v>
      </c>
      <c r="L60" s="70">
        <f t="shared" si="4"/>
        <v>0.18715682697850949</v>
      </c>
      <c r="M60" s="70">
        <f>MAX(0,J60-I60)*H60+MIN(I60,J60)*Royalties!$O$17</f>
        <v>5514.5923527812365</v>
      </c>
      <c r="N60" s="70">
        <f t="shared" si="1"/>
        <v>23950.495519297594</v>
      </c>
      <c r="O60" s="70">
        <f t="shared" si="5"/>
        <v>0</v>
      </c>
    </row>
    <row r="61" spans="1:27" x14ac:dyDescent="0.4">
      <c r="A61">
        <v>50</v>
      </c>
      <c r="B61" s="65">
        <f t="shared" si="0"/>
        <v>50</v>
      </c>
      <c r="C61" s="65">
        <f>VLOOKUP(B61,'Oil Production'!$A$13:$I$252,7,FALSE)</f>
        <v>531.93797773797996</v>
      </c>
      <c r="D61" s="70">
        <f t="shared" si="2"/>
        <v>59.63209365938306</v>
      </c>
      <c r="E61" s="65">
        <f>D61*Royalties!$T$6</f>
        <v>375.07453901972417</v>
      </c>
      <c r="F61" s="65">
        <f>MIN((E61&lt;=Royalties!$N$10)*Royalties!$P$9+(E61&gt;=Royalties!$N$10)*(E61&lt;=Royalties!$N$11)*((E61-Royalties!$N$10)*Royalties!$O$10+Royalties!$P$10)+(E61&gt;=Royalties!$N$11)*(E61&lt;=Royalties!$N$12)*((E61-Royalties!$N$11)*Royalties!$O$11+Royalties!$P$11)+(E61&gt;Royalties!$N$12)*((E61-Royalties!$N$12)*Royalties!$O$12+Royalties!$P$12),Royalties!$O$14)</f>
        <v>0.18759592270400416</v>
      </c>
      <c r="G61" s="65">
        <f>(C61&lt;Royalties!$O$15)*(C61-Royalties!$O$15)*Royalties!$O$16</f>
        <v>0</v>
      </c>
      <c r="H61" s="83">
        <f>MAX(Royalties!$O$13,MIN(0.4,F61+G61))</f>
        <v>0.18759592270400416</v>
      </c>
      <c r="I61" s="70">
        <f t="shared" si="7"/>
        <v>0</v>
      </c>
      <c r="J61" s="70">
        <f t="shared" si="3"/>
        <v>31720.575309454041</v>
      </c>
      <c r="K61" s="70">
        <f>SUM(J$12:J61)</f>
        <v>8798631.6286627017</v>
      </c>
      <c r="L61" s="70">
        <f t="shared" si="4"/>
        <v>0.18759592270400416</v>
      </c>
      <c r="M61" s="70">
        <f>MAX(0,J61-I61)*H61+MIN(I61,J61)*Royalties!$O$17</f>
        <v>5950.6505938788832</v>
      </c>
      <c r="N61" s="70">
        <f t="shared" si="1"/>
        <v>25769.924715575158</v>
      </c>
      <c r="O61" s="70">
        <f t="shared" si="5"/>
        <v>0</v>
      </c>
    </row>
    <row r="62" spans="1:27" x14ac:dyDescent="0.4">
      <c r="A62">
        <v>51</v>
      </c>
      <c r="B62" s="65">
        <f t="shared" si="0"/>
        <v>51</v>
      </c>
      <c r="C62" s="65">
        <f>VLOOKUP(B62,'Oil Production'!$A$13:$I$252,7,FALSE)</f>
        <v>499.48985209362581</v>
      </c>
      <c r="D62" s="70">
        <f t="shared" si="2"/>
        <v>59.730580910265253</v>
      </c>
      <c r="E62" s="65">
        <f>D62*Royalties!$T$6</f>
        <v>375.69400511519552</v>
      </c>
      <c r="F62" s="65">
        <f>MIN((E62&lt;=Royalties!$N$10)*Royalties!$P$9+(E62&gt;=Royalties!$N$10)*(E62&lt;=Royalties!$N$11)*((E62-Royalties!$N$10)*Royalties!$O$10+Royalties!$P$10)+(E62&gt;=Royalties!$N$11)*(E62&lt;=Royalties!$N$12)*((E62-Royalties!$N$11)*Royalties!$O$11+Royalties!$P$11)+(E62&gt;Royalties!$N$12)*((E62-Royalties!$N$12)*Royalties!$O$12+Royalties!$P$12),Royalties!$O$14)</f>
        <v>0.18803574363178882</v>
      </c>
      <c r="G62" s="65">
        <f>(C62&lt;Royalties!$O$15)*(C62-Royalties!$O$15)*Royalties!$O$16</f>
        <v>0</v>
      </c>
      <c r="H62" s="83">
        <f>MAX(Royalties!$O$13,MIN(0.4,F62+G62))</f>
        <v>0.18803574363178882</v>
      </c>
      <c r="I62" s="70">
        <f t="shared" si="7"/>
        <v>0</v>
      </c>
      <c r="J62" s="70">
        <f t="shared" si="3"/>
        <v>29834.819024334742</v>
      </c>
      <c r="K62" s="70">
        <f>SUM(J$12:J62)</f>
        <v>8828466.4476870373</v>
      </c>
      <c r="L62" s="70">
        <f t="shared" si="4"/>
        <v>0.18803574363178882</v>
      </c>
      <c r="M62" s="70">
        <f>MAX(0,J62-I62)*H62+MIN(I62,J62)*Royalties!$O$17</f>
        <v>5610.0123813606233</v>
      </c>
      <c r="N62" s="70">
        <f t="shared" si="1"/>
        <v>24224.806642974119</v>
      </c>
      <c r="O62" s="70">
        <f t="shared" si="5"/>
        <v>0</v>
      </c>
    </row>
    <row r="63" spans="1:27" x14ac:dyDescent="0.4">
      <c r="A63">
        <v>52</v>
      </c>
      <c r="B63" s="65">
        <f t="shared" si="0"/>
        <v>52</v>
      </c>
      <c r="C63" s="65">
        <f>VLOOKUP(B63,'Oil Production'!$A$13:$I$252,7,FALSE)</f>
        <v>501.08249247336062</v>
      </c>
      <c r="D63" s="70">
        <f t="shared" si="2"/>
        <v>59.829230820849482</v>
      </c>
      <c r="E63" s="65">
        <f>D63*Royalties!$T$6</f>
        <v>376.31449430928728</v>
      </c>
      <c r="F63" s="65">
        <f>MIN((E63&lt;=Royalties!$N$10)*Royalties!$P$9+(E63&gt;=Royalties!$N$10)*(E63&lt;=Royalties!$N$11)*((E63-Royalties!$N$10)*Royalties!$O$10+Royalties!$P$10)+(E63&gt;=Royalties!$N$11)*(E63&lt;=Royalties!$N$12)*((E63-Royalties!$N$11)*Royalties!$O$11+Royalties!$P$11)+(E63&gt;Royalties!$N$12)*((E63-Royalties!$N$12)*Royalties!$O$12+Royalties!$P$12),Royalties!$O$14)</f>
        <v>0.18847629095959401</v>
      </c>
      <c r="G63" s="65">
        <f>(C63&lt;Royalties!$O$15)*(C63-Royalties!$O$15)*Royalties!$O$16</f>
        <v>0</v>
      </c>
      <c r="H63" s="83">
        <f>MAX(Royalties!$O$13,MIN(0.4,F63+G63))</f>
        <v>0.18847629095959401</v>
      </c>
      <c r="I63" s="70">
        <f t="shared" si="7"/>
        <v>0</v>
      </c>
      <c r="J63" s="70">
        <f t="shared" si="3"/>
        <v>29979.380102475265</v>
      </c>
      <c r="K63" s="70">
        <f>SUM(J$12:J63)</f>
        <v>8858445.8277895134</v>
      </c>
      <c r="L63" s="70">
        <f t="shared" si="4"/>
        <v>0.18847629095959401</v>
      </c>
      <c r="M63" s="70">
        <f>MAX(0,J63-I63)*H63+MIN(I63,J63)*Royalties!$O$17</f>
        <v>5650.402366982391</v>
      </c>
      <c r="N63" s="70">
        <f t="shared" si="1"/>
        <v>24328.977735492874</v>
      </c>
      <c r="O63" s="70">
        <f t="shared" si="5"/>
        <v>0</v>
      </c>
    </row>
    <row r="64" spans="1:27" x14ac:dyDescent="0.4">
      <c r="A64">
        <v>53</v>
      </c>
      <c r="B64" s="65">
        <f t="shared" si="0"/>
        <v>53</v>
      </c>
      <c r="C64" s="65">
        <f>VLOOKUP(B64,'Oil Production'!$A$13:$I$252,7,FALSE)</f>
        <v>471.01217759717838</v>
      </c>
      <c r="D64" s="70">
        <f t="shared" si="2"/>
        <v>59.928043659781466</v>
      </c>
      <c r="E64" s="65">
        <f>D64*Royalties!$T$6</f>
        <v>376.93600829173005</v>
      </c>
      <c r="F64" s="65">
        <f>MIN((E64&lt;=Royalties!$N$10)*Royalties!$P$9+(E64&gt;=Royalties!$N$10)*(E64&lt;=Royalties!$N$11)*((E64-Royalties!$N$10)*Royalties!$O$10+Royalties!$P$10)+(E64&gt;=Royalties!$N$11)*(E64&lt;=Royalties!$N$12)*((E64-Royalties!$N$11)*Royalties!$O$11+Royalties!$P$11)+(E64&gt;Royalties!$N$12)*((E64-Royalties!$N$12)*Royalties!$O$12+Royalties!$P$12),Royalties!$O$14)</f>
        <v>0.18891756588712835</v>
      </c>
      <c r="G64" s="65">
        <f>(C64&lt;Royalties!$O$15)*(C64-Royalties!$O$15)*Royalties!$O$16</f>
        <v>0</v>
      </c>
      <c r="H64" s="83">
        <f>MAX(Royalties!$O$13,MIN(0.4,F64+G64))</f>
        <v>0.18891756588712835</v>
      </c>
      <c r="I64" s="70">
        <f t="shared" si="7"/>
        <v>0</v>
      </c>
      <c r="J64" s="70">
        <f t="shared" si="3"/>
        <v>28226.838343332449</v>
      </c>
      <c r="K64" s="70">
        <f>SUM(J$12:J64)</f>
        <v>8886672.666132845</v>
      </c>
      <c r="L64" s="70">
        <f t="shared" si="4"/>
        <v>0.18891756588712835</v>
      </c>
      <c r="M64" s="70">
        <f>MAX(0,J64-I64)*H64+MIN(I64,J64)*Royalties!$O$17</f>
        <v>5332.5455925118285</v>
      </c>
      <c r="N64" s="70">
        <f t="shared" si="1"/>
        <v>22894.292750820619</v>
      </c>
      <c r="O64" s="70">
        <f t="shared" si="5"/>
        <v>0</v>
      </c>
    </row>
    <row r="65" spans="1:15" x14ac:dyDescent="0.4">
      <c r="A65">
        <v>54</v>
      </c>
      <c r="B65" s="65">
        <f t="shared" si="0"/>
        <v>54</v>
      </c>
      <c r="C65" s="65">
        <f>VLOOKUP(B65,'Oil Production'!$A$13:$I$252,7,FALSE)</f>
        <v>472.99426218803274</v>
      </c>
      <c r="D65" s="70">
        <f t="shared" si="2"/>
        <v>60.027019696150617</v>
      </c>
      <c r="E65" s="65">
        <f>D65*Royalties!$T$6</f>
        <v>377.55854875504514</v>
      </c>
      <c r="F65" s="65">
        <f>MIN((E65&lt;=Royalties!$N$10)*Royalties!$P$9+(E65&gt;=Royalties!$N$10)*(E65&lt;=Royalties!$N$11)*((E65-Royalties!$N$10)*Royalties!$O$10+Royalties!$P$10)+(E65&gt;=Royalties!$N$11)*(E65&lt;=Royalties!$N$12)*((E65-Royalties!$N$11)*Royalties!$O$11+Royalties!$P$11)+(E65&gt;Royalties!$N$12)*((E65-Royalties!$N$12)*Royalties!$O$12+Royalties!$P$12),Royalties!$O$14)</f>
        <v>0.18935956961608208</v>
      </c>
      <c r="G65" s="65">
        <f>(C65&lt;Royalties!$O$15)*(C65-Royalties!$O$15)*Royalties!$O$16</f>
        <v>0</v>
      </c>
      <c r="H65" s="83">
        <f>MAX(Royalties!$O$13,MIN(0.4,F65+G65))</f>
        <v>0.18935956961608208</v>
      </c>
      <c r="I65" s="70">
        <f t="shared" si="7"/>
        <v>0</v>
      </c>
      <c r="J65" s="70">
        <f t="shared" si="3"/>
        <v>28392.435892527272</v>
      </c>
      <c r="K65" s="70">
        <f>SUM(J$12:J65)</f>
        <v>8915065.1020253729</v>
      </c>
      <c r="L65" s="70">
        <f t="shared" si="4"/>
        <v>0.18935956961608208</v>
      </c>
      <c r="M65" s="70">
        <f>MAX(0,J65-I65)*H65+MIN(I65,J65)*Royalties!$O$17</f>
        <v>5376.3794409611655</v>
      </c>
      <c r="N65" s="70">
        <f t="shared" si="1"/>
        <v>23016.056451566106</v>
      </c>
      <c r="O65" s="70">
        <f t="shared" si="5"/>
        <v>0</v>
      </c>
    </row>
    <row r="66" spans="1:15" x14ac:dyDescent="0.4">
      <c r="A66">
        <v>55</v>
      </c>
      <c r="B66" s="65">
        <f t="shared" si="0"/>
        <v>55</v>
      </c>
      <c r="C66" s="65">
        <f>VLOOKUP(B66,'Oil Production'!$A$13:$I$252,7,FALSE)</f>
        <v>459.67261528645759</v>
      </c>
      <c r="D66" s="70">
        <f t="shared" si="2"/>
        <v>60.126159199490779</v>
      </c>
      <c r="E66" s="65">
        <f>D66*Royalties!$T$6</f>
        <v>378.1821173945491</v>
      </c>
      <c r="F66" s="65">
        <f>MIN((E66&lt;=Royalties!$N$10)*Royalties!$P$9+(E66&gt;=Royalties!$N$10)*(E66&lt;=Royalties!$N$11)*((E66-Royalties!$N$10)*Royalties!$O$10+Royalties!$P$10)+(E66&gt;=Royalties!$N$11)*(E66&lt;=Royalties!$N$12)*((E66-Royalties!$N$11)*Royalties!$O$11+Royalties!$P$11)+(E66&gt;Royalties!$N$12)*((E66-Royalties!$N$12)*Royalties!$O$12+Royalties!$P$12),Royalties!$O$14)</f>
        <v>0.18980230335012988</v>
      </c>
      <c r="G66" s="65">
        <f>(C66&lt;Royalties!$O$15)*(C66-Royalties!$O$15)*Royalties!$O$16</f>
        <v>0</v>
      </c>
      <c r="H66" s="83">
        <f>MAX(Royalties!$O$13,MIN(0.4,F66+G66))</f>
        <v>0.18980230335012988</v>
      </c>
      <c r="I66" s="70">
        <f t="shared" si="7"/>
        <v>0</v>
      </c>
      <c r="J66" s="70">
        <f t="shared" si="3"/>
        <v>27638.348846359826</v>
      </c>
      <c r="K66" s="70">
        <f>SUM(J$12:J66)</f>
        <v>8942703.4508717321</v>
      </c>
      <c r="L66" s="70">
        <f t="shared" si="4"/>
        <v>0.18980230335012988</v>
      </c>
      <c r="M66" s="70">
        <f>MAX(0,J66-I66)*H66+MIN(I66,J66)*Royalties!$O$17</f>
        <v>5245.8222718335001</v>
      </c>
      <c r="N66" s="70">
        <f t="shared" si="1"/>
        <v>22392.526574526324</v>
      </c>
      <c r="O66" s="70">
        <f t="shared" si="5"/>
        <v>0</v>
      </c>
    </row>
    <row r="67" spans="1:15" x14ac:dyDescent="0.4">
      <c r="A67">
        <v>56</v>
      </c>
      <c r="B67" s="65">
        <f t="shared" si="0"/>
        <v>56</v>
      </c>
      <c r="C67" s="65">
        <f>VLOOKUP(B67,'Oil Production'!$A$13:$I$252,7,FALSE)</f>
        <v>432.71679998756736</v>
      </c>
      <c r="D67" s="70">
        <f t="shared" si="2"/>
        <v>60.225462439780934</v>
      </c>
      <c r="E67" s="65">
        <f>D67*Royalties!$T$6</f>
        <v>378.80671590835851</v>
      </c>
      <c r="F67" s="65">
        <f>MIN((E67&lt;=Royalties!$N$10)*Royalties!$P$9+(E67&gt;=Royalties!$N$10)*(E67&lt;=Royalties!$N$11)*((E67-Royalties!$N$10)*Royalties!$O$10+Royalties!$P$10)+(E67&gt;=Royalties!$N$11)*(E67&lt;=Royalties!$N$12)*((E67-Royalties!$N$11)*Royalties!$O$11+Royalties!$P$11)+(E67&gt;Royalties!$N$12)*((E67-Royalties!$N$12)*Royalties!$O$12+Royalties!$P$12),Royalties!$O$14)</f>
        <v>0.19024576829493456</v>
      </c>
      <c r="G67" s="65">
        <f>(C67&lt;Royalties!$O$15)*(C67-Royalties!$O$15)*Royalties!$O$16</f>
        <v>0</v>
      </c>
      <c r="H67" s="83">
        <f>MAX(Royalties!$O$13,MIN(0.4,F67+G67))</f>
        <v>0.19024576829493456</v>
      </c>
      <c r="I67" s="70">
        <f t="shared" si="7"/>
        <v>0</v>
      </c>
      <c r="J67" s="70">
        <f t="shared" si="3"/>
        <v>26060.569384713435</v>
      </c>
      <c r="K67" s="70">
        <f>SUM(J$12:J67)</f>
        <v>8968764.0202564448</v>
      </c>
      <c r="L67" s="70">
        <f t="shared" si="4"/>
        <v>0.19024576829493453</v>
      </c>
      <c r="M67" s="70">
        <f>MAX(0,J67-I67)*H67+MIN(I67,J67)*Royalties!$O$17</f>
        <v>4957.913044798257</v>
      </c>
      <c r="N67" s="70">
        <f t="shared" si="1"/>
        <v>21102.656339915178</v>
      </c>
      <c r="O67" s="70">
        <f t="shared" si="5"/>
        <v>0</v>
      </c>
    </row>
    <row r="68" spans="1:15" x14ac:dyDescent="0.4">
      <c r="A68">
        <v>57</v>
      </c>
      <c r="B68" s="65">
        <f t="shared" si="0"/>
        <v>57</v>
      </c>
      <c r="C68" s="65">
        <f>VLOOKUP(B68,'Oil Production'!$A$13:$I$252,7,FALSE)</f>
        <v>435.149436351232</v>
      </c>
      <c r="D68" s="70">
        <f t="shared" si="2"/>
        <v>60.324929687445973</v>
      </c>
      <c r="E68" s="65">
        <f>D68*Royalties!$T$6</f>
        <v>379.43234599739458</v>
      </c>
      <c r="F68" s="65">
        <f>MIN((E68&lt;=Royalties!$N$10)*Royalties!$P$9+(E68&gt;=Royalties!$N$10)*(E68&lt;=Royalties!$N$11)*((E68-Royalties!$N$10)*Royalties!$O$10+Royalties!$P$10)+(E68&gt;=Royalties!$N$11)*(E68&lt;=Royalties!$N$12)*((E68-Royalties!$N$11)*Royalties!$O$11+Royalties!$P$11)+(E68&gt;Royalties!$N$12)*((E68-Royalties!$N$12)*Royalties!$O$12+Royalties!$P$12),Royalties!$O$14)</f>
        <v>0.19068996565815016</v>
      </c>
      <c r="G68" s="65">
        <f>(C68&lt;Royalties!$O$15)*(C68-Royalties!$O$15)*Royalties!$O$16</f>
        <v>0</v>
      </c>
      <c r="H68" s="83">
        <f>MAX(Royalties!$O$13,MIN(0.4,F68+G68))</f>
        <v>0.19068996565815016</v>
      </c>
      <c r="I68" s="70">
        <f t="shared" si="7"/>
        <v>0</v>
      </c>
      <c r="J68" s="70">
        <f t="shared" si="3"/>
        <v>26250.359151419816</v>
      </c>
      <c r="K68" s="70">
        <f>SUM(J$12:J68)</f>
        <v>8995014.3794078641</v>
      </c>
      <c r="L68" s="70">
        <f t="shared" si="4"/>
        <v>0.19068996565815016</v>
      </c>
      <c r="M68" s="70">
        <f>MAX(0,J68-I68)*H68+MIN(I68,J68)*Royalties!$O$17</f>
        <v>5005.6800850983527</v>
      </c>
      <c r="N68" s="70">
        <f t="shared" si="1"/>
        <v>21244.679066321463</v>
      </c>
      <c r="O68" s="70">
        <f t="shared" si="5"/>
        <v>0</v>
      </c>
    </row>
    <row r="69" spans="1:15" x14ac:dyDescent="0.4">
      <c r="A69">
        <v>58</v>
      </c>
      <c r="B69" s="65">
        <f t="shared" si="0"/>
        <v>58</v>
      </c>
      <c r="C69" s="65">
        <f>VLOOKUP(B69,'Oil Production'!$A$13:$I$252,7,FALSE)</f>
        <v>409.99539442965761</v>
      </c>
      <c r="D69" s="70">
        <f t="shared" si="2"/>
        <v>60.424561213357414</v>
      </c>
      <c r="E69" s="65">
        <f>D69*Royalties!$T$6</f>
        <v>380.05900936538762</v>
      </c>
      <c r="F69" s="65">
        <f>MIN((E69&lt;=Royalties!$N$10)*Royalties!$P$9+(E69&gt;=Royalties!$N$10)*(E69&lt;=Royalties!$N$11)*((E69-Royalties!$N$10)*Royalties!$O$10+Royalties!$P$10)+(E69&gt;=Royalties!$N$11)*(E69&lt;=Royalties!$N$12)*((E69-Royalties!$N$11)*Royalties!$O$11+Royalties!$P$11)+(E69&gt;Royalties!$N$12)*((E69-Royalties!$N$12)*Royalties!$O$12+Royalties!$P$12),Royalties!$O$14)</f>
        <v>0.19113489664942523</v>
      </c>
      <c r="G69" s="65">
        <f>(C69&lt;Royalties!$O$15)*(C69-Royalties!$O$15)*Royalties!$O$16</f>
        <v>0</v>
      </c>
      <c r="H69" s="83">
        <f>MAX(Royalties!$O$13,MIN(0.4,F69+G69))</f>
        <v>0.19113489664942523</v>
      </c>
      <c r="I69" s="70">
        <f t="shared" si="7"/>
        <v>0</v>
      </c>
      <c r="J69" s="70">
        <f t="shared" si="3"/>
        <v>24773.791807909463</v>
      </c>
      <c r="K69" s="70">
        <f>SUM(J$12:J69)</f>
        <v>9019788.1712157726</v>
      </c>
      <c r="L69" s="70">
        <f t="shared" si="4"/>
        <v>0.19113489664942523</v>
      </c>
      <c r="M69" s="70">
        <f>MAX(0,J69-I69)*H69+MIN(I69,J69)*Royalties!$O$17</f>
        <v>4735.1361368191529</v>
      </c>
      <c r="N69" s="70">
        <f t="shared" si="1"/>
        <v>20038.65567109031</v>
      </c>
      <c r="O69" s="70">
        <f t="shared" si="5"/>
        <v>0</v>
      </c>
    </row>
    <row r="70" spans="1:15" x14ac:dyDescent="0.4">
      <c r="A70">
        <v>59</v>
      </c>
      <c r="B70" s="65">
        <f t="shared" si="0"/>
        <v>59</v>
      </c>
      <c r="C70" s="65">
        <f>VLOOKUP(B70,'Oil Production'!$A$13:$I$252,7,FALSE)</f>
        <v>412.65453306335257</v>
      </c>
      <c r="D70" s="70">
        <f t="shared" si="2"/>
        <v>60.524357288834132</v>
      </c>
      <c r="E70" s="65">
        <f>D70*Royalties!$T$6</f>
        <v>380.68670771888179</v>
      </c>
      <c r="F70" s="65">
        <f>MIN((E70&lt;=Royalties!$N$10)*Royalties!$P$9+(E70&gt;=Royalties!$N$10)*(E70&lt;=Royalties!$N$11)*((E70-Royalties!$N$10)*Royalties!$O$10+Royalties!$P$10)+(E70&gt;=Royalties!$N$11)*(E70&lt;=Royalties!$N$12)*((E70-Royalties!$N$11)*Royalties!$O$11+Royalties!$P$11)+(E70&gt;Royalties!$N$12)*((E70-Royalties!$N$12)*Royalties!$O$12+Royalties!$P$12),Royalties!$O$14)</f>
        <v>0.19158056248040609</v>
      </c>
      <c r="G70" s="65">
        <f>(C70&lt;Royalties!$O$15)*(C70-Royalties!$O$15)*Royalties!$O$16</f>
        <v>0</v>
      </c>
      <c r="H70" s="83">
        <f>MAX(Royalties!$O$13,MIN(0.4,F70+G70))</f>
        <v>0.19158056248040609</v>
      </c>
      <c r="I70" s="70">
        <f t="shared" si="7"/>
        <v>0</v>
      </c>
      <c r="J70" s="70">
        <f t="shared" si="3"/>
        <v>24975.650395983368</v>
      </c>
      <c r="K70" s="70">
        <f>SUM(J$12:J70)</f>
        <v>9044763.8216117565</v>
      </c>
      <c r="L70" s="70">
        <f t="shared" si="4"/>
        <v>0.19158056248040609</v>
      </c>
      <c r="M70" s="70">
        <f>MAX(0,J70-I70)*H70+MIN(I70,J70)*Royalties!$O$17</f>
        <v>4784.8491511764705</v>
      </c>
      <c r="N70" s="70">
        <f t="shared" si="1"/>
        <v>20190.801244806898</v>
      </c>
      <c r="O70" s="70">
        <f t="shared" si="5"/>
        <v>0</v>
      </c>
    </row>
    <row r="71" spans="1:15" x14ac:dyDescent="0.4">
      <c r="A71">
        <v>60</v>
      </c>
      <c r="B71" s="65">
        <f t="shared" si="0"/>
        <v>60</v>
      </c>
      <c r="C71" s="65">
        <f>VLOOKUP(B71,'Oil Production'!$A$13:$I$252,7,FALSE)</f>
        <v>401.92704953122302</v>
      </c>
      <c r="D71" s="70">
        <f t="shared" si="2"/>
        <v>60.624318185643112</v>
      </c>
      <c r="E71" s="65">
        <f>D71*Royalties!$T$6</f>
        <v>381.31544276723992</v>
      </c>
      <c r="F71" s="65">
        <f>MIN((E71&lt;=Royalties!$N$10)*Royalties!$P$9+(E71&gt;=Royalties!$N$10)*(E71&lt;=Royalties!$N$11)*((E71-Royalties!$N$10)*Royalties!$O$10+Royalties!$P$10)+(E71&gt;=Royalties!$N$11)*(E71&lt;=Royalties!$N$12)*((E71-Royalties!$N$11)*Royalties!$O$11+Royalties!$P$11)+(E71&gt;Royalties!$N$12)*((E71-Royalties!$N$12)*Royalties!$O$12+Royalties!$P$12),Royalties!$O$14)</f>
        <v>0.19202696436474037</v>
      </c>
      <c r="G71" s="65">
        <f>(C71&lt;Royalties!$O$15)*(C71-Royalties!$O$15)*Royalties!$O$16</f>
        <v>0</v>
      </c>
      <c r="H71" s="83">
        <f>MAX(Royalties!$O$13,MIN(0.4,F71+G71))</f>
        <v>0.19202696436474037</v>
      </c>
      <c r="I71" s="70">
        <f t="shared" si="7"/>
        <v>0</v>
      </c>
      <c r="J71" s="70">
        <f t="shared" si="3"/>
        <v>24366.553338197602</v>
      </c>
      <c r="K71" s="70">
        <f>SUM(J$12:J71)</f>
        <v>9069130.3749499545</v>
      </c>
      <c r="L71" s="70">
        <f t="shared" si="4"/>
        <v>0.19202696436474037</v>
      </c>
      <c r="M71" s="70">
        <f>MAX(0,J71-I71)*H71+MIN(I71,J71)*Royalties!$O$17</f>
        <v>4679.0352695656165</v>
      </c>
      <c r="N71" s="70">
        <f t="shared" si="1"/>
        <v>19687.518068631987</v>
      </c>
      <c r="O71" s="70">
        <f t="shared" si="5"/>
        <v>0</v>
      </c>
    </row>
    <row r="72" spans="1:15" x14ac:dyDescent="0.4">
      <c r="A72">
        <v>61</v>
      </c>
      <c r="B72" s="65">
        <f t="shared" si="0"/>
        <v>61</v>
      </c>
      <c r="C72" s="65">
        <f>VLOOKUP(B72,'Oil Production'!$A$13:$I$252,7,FALSE)</f>
        <v>354.17632927568047</v>
      </c>
      <c r="D72" s="70">
        <f t="shared" si="2"/>
        <v>60.724444176000183</v>
      </c>
      <c r="E72" s="65">
        <f>D72*Royalties!$T$6</f>
        <v>381.94521622264773</v>
      </c>
      <c r="F72" s="65">
        <f>MIN((E72&lt;=Royalties!$N$10)*Royalties!$P$9+(E72&gt;=Royalties!$N$10)*(E72&lt;=Royalties!$N$11)*((E72-Royalties!$N$10)*Royalties!$O$10+Royalties!$P$10)+(E72&gt;=Royalties!$N$11)*(E72&lt;=Royalties!$N$12)*((E72-Royalties!$N$11)*Royalties!$O$11+Royalties!$P$11)+(E72&gt;Royalties!$N$12)*((E72-Royalties!$N$12)*Royalties!$O$12+Royalties!$P$12),Royalties!$O$14)</f>
        <v>0.19247410351807992</v>
      </c>
      <c r="G72" s="65">
        <f>(C72&lt;Royalties!$O$15)*(C72-Royalties!$O$15)*Royalties!$O$16</f>
        <v>0</v>
      </c>
      <c r="H72" s="83">
        <f>MAX(Royalties!$O$13,MIN(0.4,F72+G72))</f>
        <v>0.19247410351807992</v>
      </c>
      <c r="I72" s="70">
        <f t="shared" si="7"/>
        <v>0</v>
      </c>
      <c r="J72" s="70">
        <f t="shared" si="3"/>
        <v>21507.16073556172</v>
      </c>
      <c r="K72" s="70">
        <f>SUM(J$12:J72)</f>
        <v>9090637.5356855169</v>
      </c>
      <c r="L72" s="70">
        <f t="shared" si="4"/>
        <v>0.19247410351807989</v>
      </c>
      <c r="M72" s="70">
        <f>MAX(0,J72-I72)*H72+MIN(I72,J72)*Royalties!$O$17</f>
        <v>4139.5714817964899</v>
      </c>
      <c r="N72" s="70">
        <f t="shared" si="1"/>
        <v>17367.589253765229</v>
      </c>
      <c r="O72" s="70">
        <f t="shared" si="5"/>
        <v>0</v>
      </c>
    </row>
    <row r="73" spans="1:15" x14ac:dyDescent="0.4">
      <c r="A73">
        <v>62</v>
      </c>
      <c r="B73" s="65">
        <f t="shared" si="0"/>
        <v>62</v>
      </c>
      <c r="C73" s="65">
        <f>VLOOKUP(B73,'Oil Production'!$A$13:$I$252,7,FALSE)</f>
        <v>382.70373434151406</v>
      </c>
      <c r="D73" s="70">
        <f t="shared" si="2"/>
        <v>60.824735532570763</v>
      </c>
      <c r="E73" s="65">
        <f>D73*Royalties!$T$6</f>
        <v>382.57602980011893</v>
      </c>
      <c r="F73" s="65">
        <f>MIN((E73&lt;=Royalties!$N$10)*Royalties!$P$9+(E73&gt;=Royalties!$N$10)*(E73&lt;=Royalties!$N$11)*((E73-Royalties!$N$10)*Royalties!$O$10+Royalties!$P$10)+(E73&gt;=Royalties!$N$11)*(E73&lt;=Royalties!$N$12)*((E73-Royalties!$N$11)*Royalties!$O$11+Royalties!$P$11)+(E73&gt;Royalties!$N$12)*((E73-Royalties!$N$12)*Royalties!$O$12+Royalties!$P$12),Royalties!$O$14)</f>
        <v>0.19292198115808445</v>
      </c>
      <c r="G73" s="65">
        <f>(C73&lt;Royalties!$O$15)*(C73-Royalties!$O$15)*Royalties!$O$16</f>
        <v>0</v>
      </c>
      <c r="H73" s="83">
        <f>MAX(Royalties!$O$13,MIN(0.4,F73+G73))</f>
        <v>0.19292198115808445</v>
      </c>
      <c r="I73" s="70">
        <f t="shared" si="7"/>
        <v>0</v>
      </c>
      <c r="J73" s="70">
        <f t="shared" si="3"/>
        <v>23277.853428649811</v>
      </c>
      <c r="K73" s="70">
        <f>SUM(J$12:J73)</f>
        <v>9113915.3891141675</v>
      </c>
      <c r="L73" s="70">
        <f t="shared" si="4"/>
        <v>0.19292198115808445</v>
      </c>
      <c r="M73" s="70">
        <f>MAX(0,J73-I73)*H73+MIN(I73,J73)*Royalties!$O$17</f>
        <v>4490.8096005626303</v>
      </c>
      <c r="N73" s="70">
        <f t="shared" si="1"/>
        <v>18787.043828087182</v>
      </c>
      <c r="O73" s="70">
        <f t="shared" si="5"/>
        <v>0</v>
      </c>
    </row>
    <row r="74" spans="1:15" x14ac:dyDescent="0.4">
      <c r="A74">
        <v>63</v>
      </c>
      <c r="B74" s="65">
        <f t="shared" si="0"/>
        <v>63</v>
      </c>
      <c r="C74" s="65">
        <f>VLOOKUP(B74,'Oil Production'!$A$13:$I$252,7,FALSE)</f>
        <v>361.29230668299715</v>
      </c>
      <c r="D74" s="70">
        <f t="shared" si="2"/>
        <v>60.925192528470596</v>
      </c>
      <c r="E74" s="65">
        <f>D74*Royalties!$T$6</f>
        <v>383.20788521749967</v>
      </c>
      <c r="F74" s="65">
        <f>MIN((E74&lt;=Royalties!$N$10)*Royalties!$P$9+(E74&gt;=Royalties!$N$10)*(E74&lt;=Royalties!$N$11)*((E74-Royalties!$N$10)*Royalties!$O$10+Royalties!$P$10)+(E74&gt;=Royalties!$N$11)*(E74&lt;=Royalties!$N$12)*((E74-Royalties!$N$11)*Royalties!$O$11+Royalties!$P$11)+(E74&gt;Royalties!$N$12)*((E74-Royalties!$N$12)*Royalties!$O$12+Royalties!$P$12),Royalties!$O$14)</f>
        <v>0.19337059850442478</v>
      </c>
      <c r="G74" s="65">
        <f>(C74&lt;Royalties!$O$15)*(C74-Royalties!$O$15)*Royalties!$O$16</f>
        <v>0</v>
      </c>
      <c r="H74" s="83">
        <f>MAX(Royalties!$O$13,MIN(0.4,F74+G74))</f>
        <v>0.19337059850442478</v>
      </c>
      <c r="I74" s="70">
        <f t="shared" si="7"/>
        <v>0</v>
      </c>
      <c r="J74" s="70">
        <f t="shared" si="3"/>
        <v>22011.803343716845</v>
      </c>
      <c r="K74" s="70">
        <f>SUM(J$12:J74)</f>
        <v>9135927.1924578846</v>
      </c>
      <c r="L74" s="70">
        <f t="shared" si="4"/>
        <v>0.19337059850442476</v>
      </c>
      <c r="M74" s="70">
        <f>MAX(0,J74-I74)*H74+MIN(I74,J74)*Royalties!$O$17</f>
        <v>4256.4355867362246</v>
      </c>
      <c r="N74" s="70">
        <f t="shared" si="1"/>
        <v>17755.36775698062</v>
      </c>
      <c r="O74" s="70">
        <f t="shared" si="5"/>
        <v>0</v>
      </c>
    </row>
    <row r="75" spans="1:15" x14ac:dyDescent="0.4">
      <c r="A75">
        <v>64</v>
      </c>
      <c r="B75" s="65">
        <f t="shared" si="0"/>
        <v>64</v>
      </c>
      <c r="C75" s="65">
        <f>VLOOKUP(B75,'Oil Production'!$A$13:$I$252,7,FALSE)</f>
        <v>364.33055332067306</v>
      </c>
      <c r="D75" s="70">
        <f t="shared" si="2"/>
        <v>61.025815437266509</v>
      </c>
      <c r="E75" s="65">
        <f>D75*Royalties!$T$6</f>
        <v>383.84078419547325</v>
      </c>
      <c r="F75" s="65">
        <f>MIN((E75&lt;=Royalties!$N$10)*Royalties!$P$9+(E75&gt;=Royalties!$N$10)*(E75&lt;=Royalties!$N$11)*((E75-Royalties!$N$10)*Royalties!$O$10+Royalties!$P$10)+(E75&gt;=Royalties!$N$11)*(E75&lt;=Royalties!$N$12)*((E75-Royalties!$N$11)*Royalties!$O$11+Royalties!$P$11)+(E75&gt;Royalties!$N$12)*((E75-Royalties!$N$12)*Royalties!$O$12+Royalties!$P$12),Royalties!$O$14)</f>
        <v>0.19381995677878602</v>
      </c>
      <c r="G75" s="65">
        <f>(C75&lt;Royalties!$O$15)*(C75-Royalties!$O$15)*Royalties!$O$16</f>
        <v>0</v>
      </c>
      <c r="H75" s="83">
        <f>MAX(Royalties!$O$13,MIN(0.4,F75+G75))</f>
        <v>0.19381995677878602</v>
      </c>
      <c r="I75" s="70">
        <f t="shared" si="7"/>
        <v>0</v>
      </c>
      <c r="J75" s="70">
        <f t="shared" si="3"/>
        <v>22233.56910510458</v>
      </c>
      <c r="K75" s="70">
        <f>SUM(J$12:J75)</f>
        <v>9158160.76156299</v>
      </c>
      <c r="L75" s="70">
        <f t="shared" si="4"/>
        <v>0.19381995677878602</v>
      </c>
      <c r="M75" s="70">
        <f>MAX(0,J75-I75)*H75+MIN(I75,J75)*Royalties!$O$17</f>
        <v>4309.3094029895219</v>
      </c>
      <c r="N75" s="70">
        <f t="shared" si="1"/>
        <v>17924.259702115058</v>
      </c>
      <c r="O75" s="70">
        <f t="shared" si="5"/>
        <v>0</v>
      </c>
    </row>
    <row r="76" spans="1:15" x14ac:dyDescent="0.4">
      <c r="A76">
        <v>65</v>
      </c>
      <c r="B76" s="65">
        <f t="shared" ref="B76:B139" si="23">A76</f>
        <v>65</v>
      </c>
      <c r="C76" s="65">
        <f>VLOOKUP(B76,'Oil Production'!$A$13:$I$252,7,FALSE)</f>
        <v>344.19336783653125</v>
      </c>
      <c r="D76" s="70">
        <f t="shared" si="2"/>
        <v>61.126604532977133</v>
      </c>
      <c r="E76" s="65">
        <f>D76*Royalties!$T$6</f>
        <v>384.47472845756494</v>
      </c>
      <c r="F76" s="65">
        <f>MIN((E76&lt;=Royalties!$N$10)*Royalties!$P$9+(E76&gt;=Royalties!$N$10)*(E76&lt;=Royalties!$N$11)*((E76-Royalties!$N$10)*Royalties!$O$10+Royalties!$P$10)+(E76&gt;=Royalties!$N$11)*(E76&lt;=Royalties!$N$12)*((E76-Royalties!$N$11)*Royalties!$O$11+Royalties!$P$11)+(E76&gt;Royalties!$N$12)*((E76-Royalties!$N$12)*Royalties!$O$12+Royalties!$P$12),Royalties!$O$14)</f>
        <v>0.19427005720487112</v>
      </c>
      <c r="G76" s="65">
        <f>(C76&lt;Royalties!$O$15)*(C76-Royalties!$O$15)*Royalties!$O$16</f>
        <v>0</v>
      </c>
      <c r="H76" s="83">
        <f>MAX(Royalties!$O$13,MIN(0.4,F76+G76))</f>
        <v>0.19427005720487112</v>
      </c>
      <c r="I76" s="70">
        <f t="shared" si="7"/>
        <v>0</v>
      </c>
      <c r="J76" s="70">
        <f t="shared" si="3"/>
        <v>21039.371878617178</v>
      </c>
      <c r="K76" s="70">
        <f>SUM(J$12:J76)</f>
        <v>9179200.1334416065</v>
      </c>
      <c r="L76" s="70">
        <f t="shared" si="4"/>
        <v>0.19427005720487112</v>
      </c>
      <c r="M76" s="70">
        <f>MAX(0,J76-I76)*H76+MIN(I76,J76)*Royalties!$O$17</f>
        <v>4087.3199784135159</v>
      </c>
      <c r="N76" s="70">
        <f t="shared" ref="N76:N139" si="24">J76-M76</f>
        <v>16952.05190020366</v>
      </c>
      <c r="O76" s="70">
        <f t="shared" si="5"/>
        <v>0</v>
      </c>
    </row>
    <row r="77" spans="1:15" x14ac:dyDescent="0.4">
      <c r="A77">
        <v>66</v>
      </c>
      <c r="B77" s="65">
        <f t="shared" si="23"/>
        <v>66</v>
      </c>
      <c r="C77" s="65">
        <f>VLOOKUP(B77,'Oil Production'!$A$13:$I$252,7,FALSE)</f>
        <v>347.32914201481617</v>
      </c>
      <c r="D77" s="70">
        <f t="shared" ref="D77:D140" si="25">D76*(1+$B$7)^(1/12)</f>
        <v>61.227560090073673</v>
      </c>
      <c r="E77" s="65">
        <f>D77*Royalties!$T$6</f>
        <v>385.10971973014631</v>
      </c>
      <c r="F77" s="65">
        <f>MIN((E77&lt;=Royalties!$N$10)*Royalties!$P$9+(E77&gt;=Royalties!$N$10)*(E77&lt;=Royalties!$N$11)*((E77-Royalties!$N$10)*Royalties!$O$10+Royalties!$P$10)+(E77&gt;=Royalties!$N$11)*(E77&lt;=Royalties!$N$12)*((E77-Royalties!$N$11)*Royalties!$O$11+Royalties!$P$11)+(E77&gt;Royalties!$N$12)*((E77-Royalties!$N$12)*Royalties!$O$12+Royalties!$P$12),Royalties!$O$14)</f>
        <v>0.19472090100840389</v>
      </c>
      <c r="G77" s="65">
        <f>(C77&lt;Royalties!$O$15)*(C77-Royalties!$O$15)*Royalties!$O$16</f>
        <v>0</v>
      </c>
      <c r="H77" s="83">
        <f>MAX(Royalties!$O$13,MIN(0.4,F77+G77))</f>
        <v>0.19472090100840389</v>
      </c>
      <c r="I77" s="70">
        <f t="shared" si="7"/>
        <v>0</v>
      </c>
      <c r="J77" s="70">
        <f t="shared" ref="J77:J140" si="26">C77*D77</f>
        <v>21266.115913745889</v>
      </c>
      <c r="K77" s="70">
        <f>SUM(J$12:J77)</f>
        <v>9200466.2493553516</v>
      </c>
      <c r="L77" s="70">
        <f t="shared" ref="L77:L140" si="27">M77/J77</f>
        <v>0.19472090100840392</v>
      </c>
      <c r="M77" s="70">
        <f>MAX(0,J77-I77)*H77+MIN(I77,J77)*Royalties!$O$17</f>
        <v>4140.9572516737562</v>
      </c>
      <c r="N77" s="70">
        <f t="shared" si="24"/>
        <v>17125.158662072132</v>
      </c>
      <c r="O77" s="70">
        <f t="shared" ref="O77:O140" si="28">H77*J77-M77</f>
        <v>0</v>
      </c>
    </row>
    <row r="78" spans="1:15" x14ac:dyDescent="0.4">
      <c r="A78">
        <v>67</v>
      </c>
      <c r="B78" s="65">
        <f t="shared" si="23"/>
        <v>67</v>
      </c>
      <c r="C78" s="65">
        <f>VLOOKUP(B78,'Oil Production'!$A$13:$I$252,7,FALSE)</f>
        <v>339.17019397282274</v>
      </c>
      <c r="D78" s="70">
        <f t="shared" si="25"/>
        <v>61.328682383480633</v>
      </c>
      <c r="E78" s="65">
        <f>D78*Royalties!$T$6</f>
        <v>385.74575974244033</v>
      </c>
      <c r="F78" s="65">
        <f>MIN((E78&lt;=Royalties!$N$10)*Royalties!$P$9+(E78&gt;=Royalties!$N$10)*(E78&lt;=Royalties!$N$11)*((E78-Royalties!$N$10)*Royalties!$O$10+Royalties!$P$10)+(E78&gt;=Royalties!$N$11)*(E78&lt;=Royalties!$N$12)*((E78-Royalties!$N$11)*Royalties!$O$11+Royalties!$P$11)+(E78&gt;Royalties!$N$12)*((E78-Royalties!$N$12)*Royalties!$O$12+Royalties!$P$12),Royalties!$O$14)</f>
        <v>0.19517248941713267</v>
      </c>
      <c r="G78" s="65">
        <f>(C78&lt;Royalties!$O$15)*(C78-Royalties!$O$15)*Royalties!$O$16</f>
        <v>0</v>
      </c>
      <c r="H78" s="83">
        <f>MAX(Royalties!$O$13,MIN(0.4,F78+G78))</f>
        <v>0.19517248941713267</v>
      </c>
      <c r="I78" s="70">
        <f t="shared" ref="I78:I141" si="29">MAX(I77-J77,0)</f>
        <v>0</v>
      </c>
      <c r="J78" s="70">
        <f t="shared" si="26"/>
        <v>20800.861100102764</v>
      </c>
      <c r="K78" s="70">
        <f>SUM(J$12:J78)</f>
        <v>9221267.1104554534</v>
      </c>
      <c r="L78" s="70">
        <f t="shared" si="27"/>
        <v>0.19517248941713267</v>
      </c>
      <c r="M78" s="70">
        <f>MAX(0,J78-I78)*H78+MIN(I78,J78)*Royalties!$O$17</f>
        <v>4059.7558429270534</v>
      </c>
      <c r="N78" s="70">
        <f t="shared" si="24"/>
        <v>16741.10525717571</v>
      </c>
      <c r="O78" s="70">
        <f t="shared" si="28"/>
        <v>0</v>
      </c>
    </row>
    <row r="79" spans="1:15" x14ac:dyDescent="0.4">
      <c r="A79">
        <v>68</v>
      </c>
      <c r="B79" s="65">
        <f t="shared" si="23"/>
        <v>68</v>
      </c>
      <c r="C79" s="65">
        <f>VLOOKUP(B79,'Oil Production'!$A$13:$I$252,7,FALSE)</f>
        <v>320.74575378850568</v>
      </c>
      <c r="D79" s="70">
        <f t="shared" si="25"/>
        <v>61.429971688576593</v>
      </c>
      <c r="E79" s="65">
        <f>D79*Royalties!$T$6</f>
        <v>386.38285022652593</v>
      </c>
      <c r="F79" s="65">
        <f>MIN((E79&lt;=Royalties!$N$10)*Royalties!$P$9+(E79&gt;=Royalties!$N$10)*(E79&lt;=Royalties!$N$11)*((E79-Royalties!$N$10)*Royalties!$O$10+Royalties!$P$10)+(E79&gt;=Royalties!$N$11)*(E79&lt;=Royalties!$N$12)*((E79-Royalties!$N$11)*Royalties!$O$11+Royalties!$P$11)+(E79&gt;Royalties!$N$12)*((E79-Royalties!$N$12)*Royalties!$O$12+Royalties!$P$12),Royalties!$O$14)</f>
        <v>0.19562482366083345</v>
      </c>
      <c r="G79" s="65">
        <f>(C79&lt;Royalties!$O$15)*(C79-Royalties!$O$15)*Royalties!$O$16</f>
        <v>0</v>
      </c>
      <c r="H79" s="83">
        <f>MAX(Royalties!$O$13,MIN(0.4,F79+G79))</f>
        <v>0.19562482366083345</v>
      </c>
      <c r="I79" s="70">
        <f t="shared" si="29"/>
        <v>0</v>
      </c>
      <c r="J79" s="70">
        <f t="shared" si="26"/>
        <v>19703.402574459062</v>
      </c>
      <c r="K79" s="70">
        <f>SUM(J$12:J79)</f>
        <v>9240970.5130299125</v>
      </c>
      <c r="L79" s="70">
        <f t="shared" si="27"/>
        <v>0.19562482366083345</v>
      </c>
      <c r="M79" s="70">
        <f>MAX(0,J79-I79)*H79+MIN(I79,J79)*Royalties!$O$17</f>
        <v>3854.4746541469658</v>
      </c>
      <c r="N79" s="70">
        <f t="shared" si="24"/>
        <v>15848.927920312097</v>
      </c>
      <c r="O79" s="70">
        <f t="shared" si="28"/>
        <v>0</v>
      </c>
    </row>
    <row r="80" spans="1:15" x14ac:dyDescent="0.4">
      <c r="A80">
        <v>69</v>
      </c>
      <c r="B80" s="65">
        <f t="shared" si="23"/>
        <v>69</v>
      </c>
      <c r="C80" s="65">
        <f>VLOOKUP(B80,'Oil Production'!$A$13:$I$252,7,FALSE)</f>
        <v>323.98411483637756</v>
      </c>
      <c r="D80" s="70">
        <f t="shared" si="25"/>
        <v>61.531428281194934</v>
      </c>
      <c r="E80" s="65">
        <f>D80*Royalties!$T$6</f>
        <v>387.02099291734271</v>
      </c>
      <c r="F80" s="65">
        <f>MIN((E80&lt;=Royalties!$N$10)*Royalties!$P$9+(E80&gt;=Royalties!$N$10)*(E80&lt;=Royalties!$N$11)*((E80-Royalties!$N$10)*Royalties!$O$10+Royalties!$P$10)+(E80&gt;=Royalties!$N$11)*(E80&lt;=Royalties!$N$12)*((E80-Royalties!$N$11)*Royalties!$O$11+Royalties!$P$11)+(E80&gt;Royalties!$N$12)*((E80-Royalties!$N$12)*Royalties!$O$12+Royalties!$P$12),Royalties!$O$14)</f>
        <v>0.19607790497131333</v>
      </c>
      <c r="G80" s="65">
        <f>(C80&lt;Royalties!$O$15)*(C80-Royalties!$O$15)*Royalties!$O$16</f>
        <v>0</v>
      </c>
      <c r="H80" s="83">
        <f>MAX(Royalties!$O$13,MIN(0.4,F80+G80))</f>
        <v>0.19607790497131333</v>
      </c>
      <c r="I80" s="70">
        <f t="shared" si="29"/>
        <v>0</v>
      </c>
      <c r="J80" s="70">
        <f t="shared" si="26"/>
        <v>19935.205326300988</v>
      </c>
      <c r="K80" s="70">
        <f>SUM(J$12:J80)</f>
        <v>9260905.7183562126</v>
      </c>
      <c r="L80" s="70">
        <f t="shared" si="27"/>
        <v>0.19607790497131333</v>
      </c>
      <c r="M80" s="70">
        <f>MAX(0,J80-I80)*H80+MIN(I80,J80)*Royalties!$O$17</f>
        <v>3908.8532955540645</v>
      </c>
      <c r="N80" s="70">
        <f t="shared" si="24"/>
        <v>16026.352030746923</v>
      </c>
      <c r="O80" s="70">
        <f t="shared" si="28"/>
        <v>0</v>
      </c>
    </row>
    <row r="81" spans="1:15" x14ac:dyDescent="0.4">
      <c r="A81">
        <v>70</v>
      </c>
      <c r="B81" s="65">
        <f t="shared" si="23"/>
        <v>70</v>
      </c>
      <c r="C81" s="65">
        <f>VLOOKUP(B81,'Oil Production'!$A$13:$I$252,7,FALSE)</f>
        <v>306.57498474331805</v>
      </c>
      <c r="D81" s="70">
        <f t="shared" si="25"/>
        <v>61.633052437624599</v>
      </c>
      <c r="E81" s="65">
        <f>D81*Royalties!$T$6</f>
        <v>387.66018955269561</v>
      </c>
      <c r="F81" s="65">
        <f>MIN((E81&lt;=Royalties!$N$10)*Royalties!$P$9+(E81&gt;=Royalties!$N$10)*(E81&lt;=Royalties!$N$11)*((E81-Royalties!$N$10)*Royalties!$O$10+Royalties!$P$10)+(E81&gt;=Royalties!$N$11)*(E81&lt;=Royalties!$N$12)*((E81-Royalties!$N$11)*Royalties!$O$11+Royalties!$P$11)+(E81&gt;Royalties!$N$12)*((E81-Royalties!$N$12)*Royalties!$O$12+Royalties!$P$12),Royalties!$O$14)</f>
        <v>0.19653173458241391</v>
      </c>
      <c r="G81" s="65">
        <f>(C81&lt;Royalties!$O$15)*(C81-Royalties!$O$15)*Royalties!$O$16</f>
        <v>0</v>
      </c>
      <c r="H81" s="83">
        <f>MAX(Royalties!$O$13,MIN(0.4,F81+G81))</f>
        <v>0.19653173458241391</v>
      </c>
      <c r="I81" s="70">
        <f t="shared" si="29"/>
        <v>0</v>
      </c>
      <c r="J81" s="70">
        <f t="shared" si="26"/>
        <v>18895.152110748884</v>
      </c>
      <c r="K81" s="70">
        <f>SUM(J$12:J81)</f>
        <v>9279800.8704669606</v>
      </c>
      <c r="L81" s="70">
        <f t="shared" si="27"/>
        <v>0.19653173458241391</v>
      </c>
      <c r="M81" s="70">
        <f>MAX(0,J81-I81)*H81+MIN(I81,J81)*Royalties!$O$17</f>
        <v>3713.4970195240376</v>
      </c>
      <c r="N81" s="70">
        <f t="shared" si="24"/>
        <v>15181.655091224846</v>
      </c>
      <c r="O81" s="70">
        <f t="shared" si="28"/>
        <v>0</v>
      </c>
    </row>
    <row r="82" spans="1:15" x14ac:dyDescent="0.4">
      <c r="A82">
        <v>71</v>
      </c>
      <c r="B82" s="65">
        <f t="shared" si="23"/>
        <v>71</v>
      </c>
      <c r="C82" s="65">
        <f>VLOOKUP(B82,'Oil Production'!$A$13:$I$252,7,FALSE)</f>
        <v>309.85746105425642</v>
      </c>
      <c r="D82" s="70">
        <f t="shared" si="25"/>
        <v>61.734844434610849</v>
      </c>
      <c r="E82" s="65">
        <f>D82*Royalties!$T$6</f>
        <v>388.30044187325967</v>
      </c>
      <c r="F82" s="65">
        <f>MIN((E82&lt;=Royalties!$N$10)*Royalties!$P$9+(E82&gt;=Royalties!$N$10)*(E82&lt;=Royalties!$N$11)*((E82-Royalties!$N$10)*Royalties!$O$10+Royalties!$P$10)+(E82&gt;=Royalties!$N$11)*(E82&lt;=Royalties!$N$12)*((E82-Royalties!$N$11)*Royalties!$O$11+Royalties!$P$11)+(E82&gt;Royalties!$N$12)*((E82-Royalties!$N$12)*Royalties!$O$12+Royalties!$P$12),Royalties!$O$14)</f>
        <v>0.19698631373001438</v>
      </c>
      <c r="G82" s="65">
        <f>(C82&lt;Royalties!$O$15)*(C82-Royalties!$O$15)*Royalties!$O$16</f>
        <v>0</v>
      </c>
      <c r="H82" s="83">
        <f>MAX(Royalties!$O$13,MIN(0.4,F82+G82))</f>
        <v>0.19698631373001438</v>
      </c>
      <c r="I82" s="70">
        <f t="shared" si="29"/>
        <v>0</v>
      </c>
      <c r="J82" s="70">
        <f t="shared" si="26"/>
        <v>19129.002155088008</v>
      </c>
      <c r="K82" s="70">
        <f>SUM(J$12:J82)</f>
        <v>9298929.8726220485</v>
      </c>
      <c r="L82" s="70">
        <f t="shared" si="27"/>
        <v>0.19698631373001438</v>
      </c>
      <c r="M82" s="70">
        <f>MAX(0,J82-I82)*H82+MIN(I82,J82)*Royalties!$O$17</f>
        <v>3768.1516198642876</v>
      </c>
      <c r="N82" s="70">
        <f t="shared" si="24"/>
        <v>15360.850535223721</v>
      </c>
      <c r="O82" s="70">
        <f t="shared" si="28"/>
        <v>0</v>
      </c>
    </row>
    <row r="83" spans="1:15" x14ac:dyDescent="0.4">
      <c r="A83">
        <v>72</v>
      </c>
      <c r="B83" s="65">
        <f t="shared" si="23"/>
        <v>72</v>
      </c>
      <c r="C83" s="65">
        <f>VLOOKUP(B83,'Oil Production'!$A$13:$I$252,7,FALSE)</f>
        <v>303.05214314672048</v>
      </c>
      <c r="D83" s="70">
        <f t="shared" si="25"/>
        <v>61.836804549356003</v>
      </c>
      <c r="E83" s="65">
        <f>D83*Royalties!$T$6</f>
        <v>388.94175162258489</v>
      </c>
      <c r="F83" s="65">
        <f>MIN((E83&lt;=Royalties!$N$10)*Royalties!$P$9+(E83&gt;=Royalties!$N$10)*(E83&lt;=Royalties!$N$11)*((E83-Royalties!$N$10)*Royalties!$O$10+Royalties!$P$10)+(E83&gt;=Royalties!$N$11)*(E83&lt;=Royalties!$N$12)*((E83-Royalties!$N$11)*Royalties!$O$11+Royalties!$P$11)+(E83&gt;Royalties!$N$12)*((E83-Royalties!$N$12)*Royalties!$O$12+Royalties!$P$12),Royalties!$O$14)</f>
        <v>0.19744164365203529</v>
      </c>
      <c r="G83" s="65">
        <f>(C83&lt;Royalties!$O$15)*(C83-Royalties!$O$15)*Royalties!$O$16</f>
        <v>0</v>
      </c>
      <c r="H83" s="83">
        <f>MAX(Royalties!$O$13,MIN(0.4,F83+G83))</f>
        <v>0.19744164365203529</v>
      </c>
      <c r="I83" s="70">
        <f t="shared" si="29"/>
        <v>0</v>
      </c>
      <c r="J83" s="70">
        <f t="shared" si="26"/>
        <v>18739.776144027212</v>
      </c>
      <c r="K83" s="70">
        <f>SUM(J$12:J83)</f>
        <v>9317669.6487660762</v>
      </c>
      <c r="L83" s="70">
        <f t="shared" si="27"/>
        <v>0.19744164365203529</v>
      </c>
      <c r="M83" s="70">
        <f>MAX(0,J83-I83)*H83+MIN(I83,J83)*Royalties!$O$17</f>
        <v>3700.0122035479326</v>
      </c>
      <c r="N83" s="70">
        <f t="shared" si="24"/>
        <v>15039.763940479279</v>
      </c>
      <c r="O83" s="70">
        <f t="shared" si="28"/>
        <v>0</v>
      </c>
    </row>
    <row r="84" spans="1:15" x14ac:dyDescent="0.4">
      <c r="A84">
        <v>73</v>
      </c>
      <c r="B84" s="65">
        <f t="shared" si="23"/>
        <v>73</v>
      </c>
      <c r="C84" s="65">
        <f>VLOOKUP(B84,'Oil Production'!$A$13:$I$252,7,FALSE)</f>
        <v>277.54873735809815</v>
      </c>
      <c r="D84" s="70">
        <f t="shared" si="25"/>
        <v>61.938933059520217</v>
      </c>
      <c r="E84" s="65">
        <f>D84*Royalties!$T$6</f>
        <v>389.58412054710084</v>
      </c>
      <c r="F84" s="65">
        <f>MIN((E84&lt;=Royalties!$N$10)*Royalties!$P$9+(E84&gt;=Royalties!$N$10)*(E84&lt;=Royalties!$N$11)*((E84-Royalties!$N$10)*Royalties!$O$10+Royalties!$P$10)+(E84&gt;=Royalties!$N$11)*(E84&lt;=Royalties!$N$12)*((E84-Royalties!$N$11)*Royalties!$O$11+Royalties!$P$11)+(E84&gt;Royalties!$N$12)*((E84-Royalties!$N$12)*Royalties!$O$12+Royalties!$P$12),Royalties!$O$14)</f>
        <v>0.1978977255884416</v>
      </c>
      <c r="G84" s="65">
        <f>(C84&lt;Royalties!$O$15)*(C84-Royalties!$O$15)*Royalties!$O$16</f>
        <v>0</v>
      </c>
      <c r="H84" s="83">
        <f>MAX(Royalties!$O$13,MIN(0.4,F84+G84))</f>
        <v>0.1978977255884416</v>
      </c>
      <c r="I84" s="70">
        <f t="shared" si="29"/>
        <v>0</v>
      </c>
      <c r="J84" s="70">
        <f t="shared" si="26"/>
        <v>17191.0726639776</v>
      </c>
      <c r="K84" s="70">
        <f>SUM(J$12:J84)</f>
        <v>9334860.7214300539</v>
      </c>
      <c r="L84" s="70">
        <f t="shared" si="27"/>
        <v>0.1978977255884416</v>
      </c>
      <c r="M84" s="70">
        <f>MAX(0,J84-I84)*H84+MIN(I84,J84)*Royalties!$O$17</f>
        <v>3402.0741806267988</v>
      </c>
      <c r="N84" s="70">
        <f t="shared" si="24"/>
        <v>13788.998483350802</v>
      </c>
      <c r="O84" s="70">
        <f t="shared" si="28"/>
        <v>0</v>
      </c>
    </row>
    <row r="85" spans="1:15" x14ac:dyDescent="0.4">
      <c r="A85">
        <v>74</v>
      </c>
      <c r="B85" s="65">
        <f t="shared" si="23"/>
        <v>74</v>
      </c>
      <c r="C85" s="65">
        <f>VLOOKUP(B85,'Oil Production'!$A$13:$I$252,7,FALSE)</f>
        <v>290.54122544257552</v>
      </c>
      <c r="D85" s="70">
        <f t="shared" si="25"/>
        <v>62.041230243222209</v>
      </c>
      <c r="E85" s="65">
        <f>D85*Royalties!$T$6</f>
        <v>390.2275503961215</v>
      </c>
      <c r="F85" s="65">
        <f>MIN((E85&lt;=Royalties!$N$10)*Royalties!$P$9+(E85&gt;=Royalties!$N$10)*(E85&lt;=Royalties!$N$11)*((E85-Royalties!$N$10)*Royalties!$O$10+Royalties!$P$10)+(E85&gt;=Royalties!$N$11)*(E85&lt;=Royalties!$N$12)*((E85-Royalties!$N$11)*Royalties!$O$11+Royalties!$P$11)+(E85&gt;Royalties!$N$12)*((E85-Royalties!$N$12)*Royalties!$O$12+Royalties!$P$12),Royalties!$O$14)</f>
        <v>0.19835456078124628</v>
      </c>
      <c r="G85" s="65">
        <f>(C85&lt;Royalties!$O$15)*(C85-Royalties!$O$15)*Royalties!$O$16</f>
        <v>0</v>
      </c>
      <c r="H85" s="83">
        <f>MAX(Royalties!$O$13,MIN(0.4,F85+G85))</f>
        <v>0.19835456078124628</v>
      </c>
      <c r="I85" s="70">
        <f t="shared" si="29"/>
        <v>0</v>
      </c>
      <c r="J85" s="70">
        <f t="shared" si="26"/>
        <v>18025.535062830757</v>
      </c>
      <c r="K85" s="70">
        <f>SUM(J$12:J85)</f>
        <v>9352886.2564928848</v>
      </c>
      <c r="L85" s="70">
        <f t="shared" si="27"/>
        <v>0.19835456078124628</v>
      </c>
      <c r="M85" s="70">
        <f>MAX(0,J85-I85)*H85+MIN(I85,J85)*Royalties!$O$17</f>
        <v>3575.4470902347493</v>
      </c>
      <c r="N85" s="70">
        <f t="shared" si="24"/>
        <v>14450.087972596008</v>
      </c>
      <c r="O85" s="70">
        <f t="shared" si="28"/>
        <v>0</v>
      </c>
    </row>
    <row r="86" spans="1:15" x14ac:dyDescent="0.4">
      <c r="A86">
        <v>75</v>
      </c>
      <c r="B86" s="65">
        <f t="shared" si="23"/>
        <v>75</v>
      </c>
      <c r="C86" s="65">
        <f>VLOOKUP(B86,'Oil Production'!$A$13:$I$252,7,FALSE)</f>
        <v>275.3174353132199</v>
      </c>
      <c r="D86" s="70">
        <f t="shared" si="25"/>
        <v>62.143696379040044</v>
      </c>
      <c r="E86" s="65">
        <f>D86*Royalties!$T$6</f>
        <v>390.87204292184987</v>
      </c>
      <c r="F86" s="65">
        <f>MIN((E86&lt;=Royalties!$N$10)*Royalties!$P$9+(E86&gt;=Royalties!$N$10)*(E86&lt;=Royalties!$N$11)*((E86-Royalties!$N$10)*Royalties!$O$10+Royalties!$P$10)+(E86&gt;=Royalties!$N$11)*(E86&lt;=Royalties!$N$12)*((E86-Royalties!$N$11)*Royalties!$O$11+Royalties!$P$11)+(E86&gt;Royalties!$N$12)*((E86-Royalties!$N$12)*Royalties!$O$12+Royalties!$P$12),Royalties!$O$14)</f>
        <v>0.19881215047451342</v>
      </c>
      <c r="G86" s="65">
        <f>(C86&lt;Royalties!$O$15)*(C86-Royalties!$O$15)*Royalties!$O$16</f>
        <v>0</v>
      </c>
      <c r="H86" s="83">
        <f>MAX(Royalties!$O$13,MIN(0.4,F86+G86))</f>
        <v>0.19881215047451342</v>
      </c>
      <c r="I86" s="70">
        <f t="shared" si="29"/>
        <v>0</v>
      </c>
      <c r="J86" s="70">
        <f t="shared" si="26"/>
        <v>17109.243107960734</v>
      </c>
      <c r="K86" s="70">
        <f>SUM(J$12:J86)</f>
        <v>9369995.4996008463</v>
      </c>
      <c r="L86" s="70">
        <f t="shared" si="27"/>
        <v>0.19881215047451342</v>
      </c>
      <c r="M86" s="70">
        <f>MAX(0,J86-I86)*H86+MIN(I86,J86)*Royalties!$O$17</f>
        <v>3401.5254152849211</v>
      </c>
      <c r="N86" s="70">
        <f t="shared" si="24"/>
        <v>13707.717692675813</v>
      </c>
      <c r="O86" s="70">
        <f t="shared" si="28"/>
        <v>0</v>
      </c>
    </row>
    <row r="87" spans="1:15" x14ac:dyDescent="0.4">
      <c r="A87">
        <v>76</v>
      </c>
      <c r="B87" s="65">
        <f t="shared" si="23"/>
        <v>76</v>
      </c>
      <c r="C87" s="65">
        <f>VLOOKUP(B87,'Oil Production'!$A$13:$I$252,7,FALSE)</f>
        <v>278.64804769321927</v>
      </c>
      <c r="D87" s="70">
        <f t="shared" si="25"/>
        <v>62.246331746011876</v>
      </c>
      <c r="E87" s="65">
        <f>D87*Royalties!$T$6</f>
        <v>391.51759987938294</v>
      </c>
      <c r="F87" s="65">
        <f>MIN((E87&lt;=Royalties!$N$10)*Royalties!$P$9+(E87&gt;=Royalties!$N$10)*(E87&lt;=Royalties!$N$11)*((E87-Royalties!$N$10)*Royalties!$O$10+Royalties!$P$10)+(E87&gt;=Royalties!$N$11)*(E87&lt;=Royalties!$N$12)*((E87-Royalties!$N$11)*Royalties!$O$11+Royalties!$P$11)+(E87&gt;Royalties!$N$12)*((E87-Royalties!$N$12)*Royalties!$O$12+Royalties!$P$12),Royalties!$O$14)</f>
        <v>0.19927049591436191</v>
      </c>
      <c r="G87" s="65">
        <f>(C87&lt;Royalties!$O$15)*(C87-Royalties!$O$15)*Royalties!$O$16</f>
        <v>0</v>
      </c>
      <c r="H87" s="83">
        <f>MAX(Royalties!$O$13,MIN(0.4,F87+G87))</f>
        <v>0.19927049591436191</v>
      </c>
      <c r="I87" s="70">
        <f t="shared" si="29"/>
        <v>0</v>
      </c>
      <c r="J87" s="70">
        <f t="shared" si="26"/>
        <v>17344.818817090665</v>
      </c>
      <c r="K87" s="70">
        <f>SUM(J$12:J87)</f>
        <v>9387340.3184179366</v>
      </c>
      <c r="L87" s="70">
        <f t="shared" si="27"/>
        <v>0.19927049591436191</v>
      </c>
      <c r="M87" s="70">
        <f>MAX(0,J87-I87)*H87+MIN(I87,J87)*Royalties!$O$17</f>
        <v>3456.310647226413</v>
      </c>
      <c r="N87" s="70">
        <f t="shared" si="24"/>
        <v>13888.508169864252</v>
      </c>
      <c r="O87" s="70">
        <f t="shared" si="28"/>
        <v>0</v>
      </c>
    </row>
    <row r="88" spans="1:15" x14ac:dyDescent="0.4">
      <c r="A88">
        <v>77</v>
      </c>
      <c r="B88" s="65">
        <f t="shared" si="23"/>
        <v>77</v>
      </c>
      <c r="C88" s="65">
        <f>VLOOKUP(B88,'Oil Production'!$A$13:$I$252,7,FALSE)</f>
        <v>264.18417425683583</v>
      </c>
      <c r="D88" s="70">
        <f t="shared" si="25"/>
        <v>62.34913662363671</v>
      </c>
      <c r="E88" s="65">
        <f>D88*Royalties!$T$6</f>
        <v>392.1642230267164</v>
      </c>
      <c r="F88" s="65">
        <f>MIN((E88&lt;=Royalties!$N$10)*Royalties!$P$9+(E88&gt;=Royalties!$N$10)*(E88&lt;=Royalties!$N$11)*((E88-Royalties!$N$10)*Royalties!$O$10+Royalties!$P$10)+(E88&gt;=Royalties!$N$11)*(E88&lt;=Royalties!$N$12)*((E88-Royalties!$N$11)*Royalties!$O$11+Royalties!$P$11)+(E88&gt;Royalties!$N$12)*((E88-Royalties!$N$12)*Royalties!$O$12+Royalties!$P$12),Royalties!$O$14)</f>
        <v>0.19972959834896864</v>
      </c>
      <c r="G88" s="65">
        <f>(C88&lt;Royalties!$O$15)*(C88-Royalties!$O$15)*Royalties!$O$16</f>
        <v>0</v>
      </c>
      <c r="H88" s="83">
        <f>MAX(Royalties!$O$13,MIN(0.4,F88+G88))</f>
        <v>0.19972959834896864</v>
      </c>
      <c r="I88" s="70">
        <f t="shared" si="29"/>
        <v>0</v>
      </c>
      <c r="J88" s="70">
        <f t="shared" si="26"/>
        <v>16471.655174542106</v>
      </c>
      <c r="K88" s="70">
        <f>SUM(J$12:J88)</f>
        <v>9403811.9735924788</v>
      </c>
      <c r="L88" s="70">
        <f t="shared" si="27"/>
        <v>0.19972959834896864</v>
      </c>
      <c r="M88" s="70">
        <f>MAX(0,J88-I88)*H88+MIN(I88,J88)*Royalties!$O$17</f>
        <v>3289.8770721540059</v>
      </c>
      <c r="N88" s="70">
        <f t="shared" si="24"/>
        <v>13181.7781023881</v>
      </c>
      <c r="O88" s="70">
        <f t="shared" si="28"/>
        <v>0</v>
      </c>
    </row>
    <row r="89" spans="1:15" x14ac:dyDescent="0.4">
      <c r="A89">
        <v>78</v>
      </c>
      <c r="B89" s="65">
        <f t="shared" si="23"/>
        <v>78</v>
      </c>
      <c r="C89" s="65">
        <f>VLOOKUP(B89,'Oil Production'!$A$13:$I$252,7,FALSE)</f>
        <v>267.51512942137197</v>
      </c>
      <c r="D89" s="70">
        <f t="shared" si="25"/>
        <v>62.452111291875177</v>
      </c>
      <c r="E89" s="65">
        <f>D89*Royalties!$T$6</f>
        <v>392.81191412474942</v>
      </c>
      <c r="F89" s="65">
        <f>MIN((E89&lt;=Royalties!$N$10)*Royalties!$P$9+(E89&gt;=Royalties!$N$10)*(E89&lt;=Royalties!$N$11)*((E89-Royalties!$N$10)*Royalties!$O$10+Royalties!$P$10)+(E89&gt;=Royalties!$N$11)*(E89&lt;=Royalties!$N$12)*((E89-Royalties!$N$11)*Royalties!$O$11+Royalties!$P$11)+(E89&gt;Royalties!$N$12)*((E89-Royalties!$N$12)*Royalties!$O$12+Royalties!$P$12),Royalties!$O$14)</f>
        <v>0.2001894590285721</v>
      </c>
      <c r="G89" s="65">
        <f>(C89&lt;Royalties!$O$15)*(C89-Royalties!$O$15)*Royalties!$O$16</f>
        <v>0</v>
      </c>
      <c r="H89" s="83">
        <f>MAX(Royalties!$O$13,MIN(0.4,F89+G89))</f>
        <v>0.2001894590285721</v>
      </c>
      <c r="I89" s="70">
        <f t="shared" si="29"/>
        <v>0</v>
      </c>
      <c r="J89" s="70">
        <f t="shared" si="26"/>
        <v>16706.884634883914</v>
      </c>
      <c r="K89" s="70">
        <f>SUM(J$12:J89)</f>
        <v>9420518.8582273629</v>
      </c>
      <c r="L89" s="70">
        <f t="shared" si="27"/>
        <v>0.2001894590285721</v>
      </c>
      <c r="M89" s="70">
        <f>MAX(0,J89-I89)*H89+MIN(I89,J89)*Royalties!$O$17</f>
        <v>3344.5421971101741</v>
      </c>
      <c r="N89" s="70">
        <f t="shared" si="24"/>
        <v>13362.342437773739</v>
      </c>
      <c r="O89" s="70">
        <f t="shared" si="28"/>
        <v>0</v>
      </c>
    </row>
    <row r="90" spans="1:15" x14ac:dyDescent="0.4">
      <c r="A90">
        <v>79</v>
      </c>
      <c r="B90" s="65">
        <f t="shared" si="23"/>
        <v>79</v>
      </c>
      <c r="C90" s="65">
        <f>VLOOKUP(B90,'Oil Production'!$A$13:$I$252,7,FALSE)</f>
        <v>262.12757688309648</v>
      </c>
      <c r="D90" s="70">
        <f t="shared" si="25"/>
        <v>62.555256031150279</v>
      </c>
      <c r="E90" s="65">
        <f>D90*Royalties!$T$6</f>
        <v>393.46067493728935</v>
      </c>
      <c r="F90" s="65">
        <f>MIN((E90&lt;=Royalties!$N$10)*Royalties!$P$9+(E90&gt;=Royalties!$N$10)*(E90&lt;=Royalties!$N$11)*((E90-Royalties!$N$10)*Royalties!$O$10+Royalties!$P$10)+(E90&gt;=Royalties!$N$11)*(E90&lt;=Royalties!$N$12)*((E90-Royalties!$N$11)*Royalties!$O$11+Royalties!$P$11)+(E90&gt;Royalties!$N$12)*((E90-Royalties!$N$12)*Royalties!$O$12+Royalties!$P$12),Royalties!$O$14)</f>
        <v>0.20065007920547545</v>
      </c>
      <c r="G90" s="65">
        <f>(C90&lt;Royalties!$O$15)*(C90-Royalties!$O$15)*Royalties!$O$16</f>
        <v>0</v>
      </c>
      <c r="H90" s="83">
        <f>MAX(Royalties!$O$13,MIN(0.4,F90+G90))</f>
        <v>0.20065007920547545</v>
      </c>
      <c r="I90" s="70">
        <f t="shared" si="29"/>
        <v>0</v>
      </c>
      <c r="J90" s="70">
        <f t="shared" si="26"/>
        <v>16397.457684747129</v>
      </c>
      <c r="K90" s="70">
        <f>SUM(J$12:J90)</f>
        <v>9436916.3159121107</v>
      </c>
      <c r="L90" s="70">
        <f t="shared" si="27"/>
        <v>0.20065007920547545</v>
      </c>
      <c r="M90" s="70">
        <f>MAX(0,J90-I90)*H90+MIN(I90,J90)*Royalties!$O$17</f>
        <v>3290.1511832129436</v>
      </c>
      <c r="N90" s="70">
        <f t="shared" si="24"/>
        <v>13107.306501534185</v>
      </c>
      <c r="O90" s="70">
        <f t="shared" si="28"/>
        <v>0</v>
      </c>
    </row>
    <row r="91" spans="1:15" x14ac:dyDescent="0.4">
      <c r="A91">
        <v>80</v>
      </c>
      <c r="B91" s="65">
        <f t="shared" si="23"/>
        <v>80</v>
      </c>
      <c r="C91" s="65">
        <f>VLOOKUP(B91,'Oil Production'!$A$13:$I$252,7,FALSE)</f>
        <v>248.70380126236705</v>
      </c>
      <c r="D91" s="70">
        <f t="shared" si="25"/>
        <v>62.658571122348157</v>
      </c>
      <c r="E91" s="65">
        <f>D91*Royalties!$T$6</f>
        <v>394.11050723105666</v>
      </c>
      <c r="F91" s="65">
        <f>MIN((E91&lt;=Royalties!$N$10)*Royalties!$P$9+(E91&gt;=Royalties!$N$10)*(E91&lt;=Royalties!$N$11)*((E91-Royalties!$N$10)*Royalties!$O$10+Royalties!$P$10)+(E91&gt;=Royalties!$N$11)*(E91&lt;=Royalties!$N$12)*((E91-Royalties!$N$11)*Royalties!$O$11+Royalties!$P$11)+(E91&gt;Royalties!$N$12)*((E91-Royalties!$N$12)*Royalties!$O$12+Royalties!$P$12),Royalties!$O$14)</f>
        <v>0.20111146013405024</v>
      </c>
      <c r="G91" s="65">
        <f>(C91&lt;Royalties!$O$15)*(C91-Royalties!$O$15)*Royalties!$O$16</f>
        <v>0</v>
      </c>
      <c r="H91" s="83">
        <f>MAX(Royalties!$O$13,MIN(0.4,F91+G91))</f>
        <v>0.20111146013405024</v>
      </c>
      <c r="I91" s="70">
        <f t="shared" si="29"/>
        <v>0</v>
      </c>
      <c r="J91" s="70">
        <f t="shared" si="26"/>
        <v>15583.424819796368</v>
      </c>
      <c r="K91" s="70">
        <f>SUM(J$12:J91)</f>
        <v>9452499.740731908</v>
      </c>
      <c r="L91" s="70">
        <f t="shared" si="27"/>
        <v>0.20111146013405024</v>
      </c>
      <c r="M91" s="70">
        <f>MAX(0,J91-I91)*H91+MIN(I91,J91)*Royalties!$O$17</f>
        <v>3134.0053193984463</v>
      </c>
      <c r="N91" s="70">
        <f t="shared" si="24"/>
        <v>12449.419500397922</v>
      </c>
      <c r="O91" s="70">
        <f t="shared" si="28"/>
        <v>0</v>
      </c>
    </row>
    <row r="92" spans="1:15" x14ac:dyDescent="0.4">
      <c r="A92">
        <v>81</v>
      </c>
      <c r="B92" s="65">
        <f t="shared" si="23"/>
        <v>81</v>
      </c>
      <c r="C92" s="65">
        <f>VLOOKUP(B92,'Oil Production'!$A$13:$I$252,7,FALSE)</f>
        <v>252.02011740533635</v>
      </c>
      <c r="D92" s="70">
        <f t="shared" si="25"/>
        <v>62.762056846818865</v>
      </c>
      <c r="E92" s="65">
        <f>D92*Royalties!$T$6</f>
        <v>394.76141277568979</v>
      </c>
      <c r="F92" s="65">
        <f>MIN((E92&lt;=Royalties!$N$10)*Royalties!$P$9+(E92&gt;=Royalties!$N$10)*(E92&lt;=Royalties!$N$11)*((E92-Royalties!$N$10)*Royalties!$O$10+Royalties!$P$10)+(E92&gt;=Royalties!$N$11)*(E92&lt;=Royalties!$N$12)*((E92-Royalties!$N$11)*Royalties!$O$11+Royalties!$P$11)+(E92&gt;Royalties!$N$12)*((E92-Royalties!$N$12)*Royalties!$O$12+Royalties!$P$12),Royalties!$O$14)</f>
        <v>0.20157360307073977</v>
      </c>
      <c r="G92" s="65">
        <f>(C92&lt;Royalties!$O$15)*(C92-Royalties!$O$15)*Royalties!$O$16</f>
        <v>0</v>
      </c>
      <c r="H92" s="83">
        <f>MAX(Royalties!$O$13,MIN(0.4,F92+G92))</f>
        <v>0.20157360307073977</v>
      </c>
      <c r="I92" s="70">
        <f t="shared" si="29"/>
        <v>0</v>
      </c>
      <c r="J92" s="70">
        <f t="shared" si="26"/>
        <v>15817.300935135685</v>
      </c>
      <c r="K92" s="70">
        <f>SUM(J$12:J92)</f>
        <v>9468317.0416670442</v>
      </c>
      <c r="L92" s="70">
        <f t="shared" si="27"/>
        <v>0.20157360307073977</v>
      </c>
      <c r="M92" s="70">
        <f>MAX(0,J92-I92)*H92+MIN(I92,J92)*Royalties!$O$17</f>
        <v>3188.3503403494815</v>
      </c>
      <c r="N92" s="70">
        <f t="shared" si="24"/>
        <v>12628.950594786204</v>
      </c>
      <c r="O92" s="70">
        <f t="shared" si="28"/>
        <v>0</v>
      </c>
    </row>
    <row r="93" spans="1:15" x14ac:dyDescent="0.4">
      <c r="A93">
        <v>82</v>
      </c>
      <c r="B93" s="65">
        <f t="shared" si="23"/>
        <v>82</v>
      </c>
      <c r="C93" s="65">
        <f>VLOOKUP(B93,'Oil Production'!$A$13:$I$252,7,FALSE)</f>
        <v>239.22363117313944</v>
      </c>
      <c r="D93" s="70">
        <f t="shared" si="25"/>
        <v>62.865713486377125</v>
      </c>
      <c r="E93" s="65">
        <f>D93*Royalties!$T$6</f>
        <v>395.4133933437497</v>
      </c>
      <c r="F93" s="65">
        <f>MIN((E93&lt;=Royalties!$N$10)*Royalties!$P$9+(E93&gt;=Royalties!$N$10)*(E93&lt;=Royalties!$N$11)*((E93-Royalties!$N$10)*Royalties!$O$10+Royalties!$P$10)+(E93&gt;=Royalties!$N$11)*(E93&lt;=Royalties!$N$12)*((E93-Royalties!$N$11)*Royalties!$O$11+Royalties!$P$11)+(E93&gt;Royalties!$N$12)*((E93-Royalties!$N$12)*Royalties!$O$12+Royalties!$P$12),Royalties!$O$14)</f>
        <v>0.2020365092740623</v>
      </c>
      <c r="G93" s="65">
        <f>(C93&lt;Royalties!$O$15)*(C93-Royalties!$O$15)*Royalties!$O$16</f>
        <v>0</v>
      </c>
      <c r="H93" s="83">
        <f>MAX(Royalties!$O$13,MIN(0.4,F93+G93))</f>
        <v>0.2020365092740623</v>
      </c>
      <c r="I93" s="70">
        <f t="shared" si="29"/>
        <v>0</v>
      </c>
      <c r="J93" s="70">
        <f t="shared" si="26"/>
        <v>15038.964256501338</v>
      </c>
      <c r="K93" s="70">
        <f>SUM(J$12:J93)</f>
        <v>9483356.005923545</v>
      </c>
      <c r="L93" s="70">
        <f t="shared" si="27"/>
        <v>0.20203650927406233</v>
      </c>
      <c r="M93" s="70">
        <f>MAX(0,J93-I93)*H93+MIN(I93,J93)*Royalties!$O$17</f>
        <v>3038.4198414809243</v>
      </c>
      <c r="N93" s="70">
        <f t="shared" si="24"/>
        <v>12000.544415020413</v>
      </c>
      <c r="O93" s="70">
        <f t="shared" si="28"/>
        <v>0</v>
      </c>
    </row>
    <row r="94" spans="1:15" x14ac:dyDescent="0.4">
      <c r="A94">
        <v>83</v>
      </c>
      <c r="B94" s="65">
        <f t="shared" si="23"/>
        <v>83</v>
      </c>
      <c r="C94" s="65">
        <f>VLOOKUP(B94,'Oil Production'!$A$13:$I$252,7,FALSE)</f>
        <v>242.52212541745394</v>
      </c>
      <c r="D94" s="70">
        <f t="shared" si="25"/>
        <v>62.969541323303098</v>
      </c>
      <c r="E94" s="65">
        <f>D94*Royalties!$T$6</f>
        <v>396.06645071072506</v>
      </c>
      <c r="F94" s="65">
        <f>MIN((E94&lt;=Royalties!$N$10)*Royalties!$P$9+(E94&gt;=Royalties!$N$10)*(E94&lt;=Royalties!$N$11)*((E94-Royalties!$N$10)*Royalties!$O$10+Royalties!$P$10)+(E94&gt;=Royalties!$N$11)*(E94&lt;=Royalties!$N$12)*((E94-Royalties!$N$11)*Royalties!$O$11+Royalties!$P$11)+(E94&gt;Royalties!$N$12)*((E94-Royalties!$N$12)*Royalties!$O$12+Royalties!$P$12),Royalties!$O$14)</f>
        <v>0.20250018000461481</v>
      </c>
      <c r="G94" s="65">
        <f>(C94&lt;Royalties!$O$15)*(C94-Royalties!$O$15)*Royalties!$O$16</f>
        <v>0</v>
      </c>
      <c r="H94" s="83">
        <f>MAX(Royalties!$O$13,MIN(0.4,F94+G94))</f>
        <v>0.20250018000461481</v>
      </c>
      <c r="I94" s="70">
        <f t="shared" si="29"/>
        <v>0</v>
      </c>
      <c r="J94" s="70">
        <f t="shared" si="26"/>
        <v>15271.506998289662</v>
      </c>
      <c r="K94" s="70">
        <f>SUM(J$12:J94)</f>
        <v>9498627.5129218344</v>
      </c>
      <c r="L94" s="70">
        <f t="shared" si="27"/>
        <v>0.20250018000461481</v>
      </c>
      <c r="M94" s="70">
        <f>MAX(0,J94-I94)*H94+MIN(I94,J94)*Royalties!$O$17</f>
        <v>3092.4829160953914</v>
      </c>
      <c r="N94" s="70">
        <f t="shared" si="24"/>
        <v>12179.024082194272</v>
      </c>
      <c r="O94" s="70">
        <f t="shared" si="28"/>
        <v>0</v>
      </c>
    </row>
    <row r="95" spans="1:15" x14ac:dyDescent="0.4">
      <c r="A95">
        <v>84</v>
      </c>
      <c r="B95" s="65">
        <f t="shared" si="23"/>
        <v>84</v>
      </c>
      <c r="C95" s="65">
        <f>VLOOKUP(B95,'Oil Production'!$A$13:$I$252,7,FALSE)</f>
        <v>237.91280716343317</v>
      </c>
      <c r="D95" s="70">
        <f t="shared" si="25"/>
        <v>63.073540640343161</v>
      </c>
      <c r="E95" s="65">
        <f>D95*Royalties!$T$6</f>
        <v>396.72058665503681</v>
      </c>
      <c r="F95" s="65">
        <f>MIN((E95&lt;=Royalties!$N$10)*Royalties!$P$9+(E95&gt;=Royalties!$N$10)*(E95&lt;=Royalties!$N$11)*((E95-Royalties!$N$10)*Royalties!$O$10+Royalties!$P$10)+(E95&gt;=Royalties!$N$11)*(E95&lt;=Royalties!$N$12)*((E95-Royalties!$N$11)*Royalties!$O$11+Royalties!$P$11)+(E95&gt;Royalties!$N$12)*((E95-Royalties!$N$12)*Royalties!$O$12+Royalties!$P$12),Royalties!$O$14)</f>
        <v>0.20296461652507614</v>
      </c>
      <c r="G95" s="65">
        <f>(C95&lt;Royalties!$O$15)*(C95-Royalties!$O$15)*Royalties!$O$16</f>
        <v>0</v>
      </c>
      <c r="H95" s="83">
        <f>MAX(Royalties!$O$13,MIN(0.4,F95+G95))</f>
        <v>0.20296461652507614</v>
      </c>
      <c r="I95" s="70">
        <f t="shared" si="29"/>
        <v>0</v>
      </c>
      <c r="J95" s="70">
        <f t="shared" si="26"/>
        <v>15006.003111480928</v>
      </c>
      <c r="K95" s="70">
        <f>SUM(J$12:J95)</f>
        <v>9513633.516033316</v>
      </c>
      <c r="L95" s="70">
        <f t="shared" si="27"/>
        <v>0.20296461652507614</v>
      </c>
      <c r="M95" s="70">
        <f>MAX(0,J95-I95)*H95+MIN(I95,J95)*Royalties!$O$17</f>
        <v>3045.6876670958259</v>
      </c>
      <c r="N95" s="70">
        <f t="shared" si="24"/>
        <v>11960.315444385102</v>
      </c>
      <c r="O95" s="70">
        <f t="shared" si="28"/>
        <v>0</v>
      </c>
    </row>
    <row r="96" spans="1:15" x14ac:dyDescent="0.4">
      <c r="A96">
        <v>85</v>
      </c>
      <c r="B96" s="65">
        <f t="shared" si="23"/>
        <v>85</v>
      </c>
      <c r="C96" s="65">
        <f>VLOOKUP(B96,'Oil Production'!$A$13:$I$252,7,FALSE)</f>
        <v>211.04257013046299</v>
      </c>
      <c r="D96" s="70">
        <f t="shared" si="25"/>
        <v>63.177711720710654</v>
      </c>
      <c r="E96" s="65">
        <f>D96*Royalties!$T$6</f>
        <v>397.3758029580431</v>
      </c>
      <c r="F96" s="65">
        <f>MIN((E96&lt;=Royalties!$N$10)*Royalties!$P$9+(E96&gt;=Royalties!$N$10)*(E96&lt;=Royalties!$N$11)*((E96-Royalties!$N$10)*Royalties!$O$10+Royalties!$P$10)+(E96&gt;=Royalties!$N$11)*(E96&lt;=Royalties!$N$12)*((E96-Royalties!$N$11)*Royalties!$O$11+Royalties!$P$11)+(E96&gt;Royalties!$N$12)*((E96-Royalties!$N$12)*Royalties!$O$12+Royalties!$P$12),Royalties!$O$14)</f>
        <v>0.2034298201002106</v>
      </c>
      <c r="G96" s="65">
        <f>(C96&lt;Royalties!$O$15)*(C96-Royalties!$O$15)*Royalties!$O$16</f>
        <v>0</v>
      </c>
      <c r="H96" s="83">
        <f>MAX(Royalties!$O$13,MIN(0.4,F96+G96))</f>
        <v>0.2034298201002106</v>
      </c>
      <c r="I96" s="70">
        <f t="shared" si="29"/>
        <v>0</v>
      </c>
      <c r="J96" s="70">
        <f t="shared" si="26"/>
        <v>13333.186656500251</v>
      </c>
      <c r="K96" s="70">
        <f>SUM(J$12:J96)</f>
        <v>9526966.7026898172</v>
      </c>
      <c r="L96" s="70">
        <f t="shared" si="27"/>
        <v>0.2034298201002106</v>
      </c>
      <c r="M96" s="70">
        <f>MAX(0,J96-I96)*H96+MIN(I96,J96)*Royalties!$O$17</f>
        <v>2712.3677628943747</v>
      </c>
      <c r="N96" s="70">
        <f t="shared" si="24"/>
        <v>10620.818893605876</v>
      </c>
      <c r="O96" s="70">
        <f t="shared" si="28"/>
        <v>0</v>
      </c>
    </row>
    <row r="97" spans="1:15" x14ac:dyDescent="0.4">
      <c r="A97">
        <v>86</v>
      </c>
      <c r="B97" s="65">
        <f t="shared" si="23"/>
        <v>86</v>
      </c>
      <c r="C97" s="65">
        <f>VLOOKUP(B97,'Oil Production'!$A$13:$I$252,7,FALSE)</f>
        <v>229.51839310125797</v>
      </c>
      <c r="D97" s="70">
        <f t="shared" si="25"/>
        <v>63.282054848086688</v>
      </c>
      <c r="E97" s="65">
        <f>D97*Royalties!$T$6</f>
        <v>398.03210140404411</v>
      </c>
      <c r="F97" s="65">
        <f>MIN((E97&lt;=Royalties!$N$10)*Royalties!$P$9+(E97&gt;=Royalties!$N$10)*(E97&lt;=Royalties!$N$11)*((E97-Royalties!$N$10)*Royalties!$O$10+Royalties!$P$10)+(E97&gt;=Royalties!$N$11)*(E97&lt;=Royalties!$N$12)*((E97-Royalties!$N$11)*Royalties!$O$11+Royalties!$P$11)+(E97&gt;Royalties!$N$12)*((E97-Royalties!$N$12)*Royalties!$O$12+Royalties!$P$12),Royalties!$O$14)</f>
        <v>0.20389579199687136</v>
      </c>
      <c r="G97" s="65">
        <f>(C97&lt;Royalties!$O$15)*(C97-Royalties!$O$15)*Royalties!$O$16</f>
        <v>0</v>
      </c>
      <c r="H97" s="83">
        <f>MAX(Royalties!$O$13,MIN(0.4,F97+G97))</f>
        <v>0.20389579199687136</v>
      </c>
      <c r="I97" s="70">
        <f t="shared" si="29"/>
        <v>0</v>
      </c>
      <c r="J97" s="70">
        <f t="shared" si="26"/>
        <v>14524.395540878528</v>
      </c>
      <c r="K97" s="70">
        <f>SUM(J$12:J97)</f>
        <v>9541491.0982306954</v>
      </c>
      <c r="L97" s="70">
        <f t="shared" si="27"/>
        <v>0.20389579199687136</v>
      </c>
      <c r="M97" s="70">
        <f>MAX(0,J97-I97)*H97+MIN(I97,J97)*Royalties!$O$17</f>
        <v>2961.4631320832541</v>
      </c>
      <c r="N97" s="70">
        <f t="shared" si="24"/>
        <v>11562.932408795274</v>
      </c>
      <c r="O97" s="70">
        <f t="shared" si="28"/>
        <v>0</v>
      </c>
    </row>
    <row r="98" spans="1:15" x14ac:dyDescent="0.4">
      <c r="A98">
        <v>87</v>
      </c>
      <c r="B98" s="65">
        <f t="shared" si="23"/>
        <v>87</v>
      </c>
      <c r="C98" s="65">
        <f>VLOOKUP(B98,'Oil Production'!$A$13:$I$252,7,FALSE)</f>
        <v>218.09303275347338</v>
      </c>
      <c r="D98" s="70">
        <f t="shared" si="25"/>
        <v>63.386570306620875</v>
      </c>
      <c r="E98" s="65">
        <f>D98*Royalties!$T$6</f>
        <v>398.68948378028705</v>
      </c>
      <c r="F98" s="65">
        <f>MIN((E98&lt;=Royalties!$N$10)*Royalties!$P$9+(E98&gt;=Royalties!$N$10)*(E98&lt;=Royalties!$N$11)*((E98-Royalties!$N$10)*Royalties!$O$10+Royalties!$P$10)+(E98&gt;=Royalties!$N$11)*(E98&lt;=Royalties!$N$12)*((E98-Royalties!$N$11)*Royalties!$O$11+Royalties!$P$11)+(E98&gt;Royalties!$N$12)*((E98-Royalties!$N$12)*Royalties!$O$12+Royalties!$P$12),Royalties!$O$14)</f>
        <v>0.20436253348400382</v>
      </c>
      <c r="G98" s="65">
        <f>(C98&lt;Royalties!$O$15)*(C98-Royalties!$O$15)*Royalties!$O$16</f>
        <v>0</v>
      </c>
      <c r="H98" s="83">
        <f>MAX(Royalties!$O$13,MIN(0.4,F98+G98))</f>
        <v>0.20436253348400382</v>
      </c>
      <c r="I98" s="70">
        <f t="shared" si="29"/>
        <v>0</v>
      </c>
      <c r="J98" s="70">
        <f t="shared" si="26"/>
        <v>13824.169354012211</v>
      </c>
      <c r="K98" s="70">
        <f>SUM(J$12:J98)</f>
        <v>9555315.2675847076</v>
      </c>
      <c r="L98" s="70">
        <f t="shared" si="27"/>
        <v>0.20436253348400382</v>
      </c>
      <c r="M98" s="70">
        <f>MAX(0,J98-I98)*H98+MIN(I98,J98)*Royalties!$O$17</f>
        <v>2825.1422724978597</v>
      </c>
      <c r="N98" s="70">
        <f t="shared" si="24"/>
        <v>10999.02708151435</v>
      </c>
      <c r="O98" s="70">
        <f t="shared" si="28"/>
        <v>0</v>
      </c>
    </row>
    <row r="99" spans="1:15" x14ac:dyDescent="0.4">
      <c r="A99">
        <v>88</v>
      </c>
      <c r="B99" s="65">
        <f t="shared" si="23"/>
        <v>88</v>
      </c>
      <c r="C99" s="65">
        <f>VLOOKUP(B99,'Oil Production'!$A$13:$I$252,7,FALSE)</f>
        <v>221.32693050766829</v>
      </c>
      <c r="D99" s="70">
        <f t="shared" si="25"/>
        <v>63.491258380932145</v>
      </c>
      <c r="E99" s="65">
        <f>D99*Royalties!$T$6</f>
        <v>399.3479518769708</v>
      </c>
      <c r="F99" s="65">
        <f>MIN((E99&lt;=Royalties!$N$10)*Royalties!$P$9+(E99&gt;=Royalties!$N$10)*(E99&lt;=Royalties!$N$11)*((E99-Royalties!$N$10)*Royalties!$O$10+Royalties!$P$10)+(E99&gt;=Royalties!$N$11)*(E99&lt;=Royalties!$N$12)*((E99-Royalties!$N$11)*Royalties!$O$11+Royalties!$P$11)+(E99&gt;Royalties!$N$12)*((E99-Royalties!$N$12)*Royalties!$O$12+Royalties!$P$12),Royalties!$O$14)</f>
        <v>0.2048300458326493</v>
      </c>
      <c r="G99" s="65">
        <f>(C99&lt;Royalties!$O$15)*(C99-Royalties!$O$15)*Royalties!$O$16</f>
        <v>0</v>
      </c>
      <c r="H99" s="83">
        <f>MAX(Royalties!$O$13,MIN(0.4,F99+G99))</f>
        <v>0.2048300458326493</v>
      </c>
      <c r="I99" s="70">
        <f t="shared" si="29"/>
        <v>0</v>
      </c>
      <c r="J99" s="70">
        <f t="shared" si="26"/>
        <v>14052.32533152098</v>
      </c>
      <c r="K99" s="70">
        <f>SUM(J$12:J99)</f>
        <v>9569367.5929162279</v>
      </c>
      <c r="L99" s="70">
        <f t="shared" si="27"/>
        <v>0.2048300458326493</v>
      </c>
      <c r="M99" s="70">
        <f>MAX(0,J99-I99)*H99+MIN(I99,J99)*Royalties!$O$17</f>
        <v>2878.3384417107413</v>
      </c>
      <c r="N99" s="70">
        <f t="shared" si="24"/>
        <v>11173.98688981024</v>
      </c>
      <c r="O99" s="70">
        <f t="shared" si="28"/>
        <v>0</v>
      </c>
    </row>
    <row r="100" spans="1:15" x14ac:dyDescent="0.4">
      <c r="A100">
        <v>89</v>
      </c>
      <c r="B100" s="65">
        <f t="shared" si="23"/>
        <v>89</v>
      </c>
      <c r="C100" s="65">
        <f>VLOOKUP(B100,'Oil Production'!$A$13:$I$252,7,FALSE)</f>
        <v>210.39180483372184</v>
      </c>
      <c r="D100" s="70">
        <f t="shared" si="25"/>
        <v>63.596119356109476</v>
      </c>
      <c r="E100" s="65">
        <f>D100*Royalties!$T$6</f>
        <v>400.00750748725096</v>
      </c>
      <c r="F100" s="65">
        <f>MIN((E100&lt;=Royalties!$N$10)*Royalties!$P$9+(E100&gt;=Royalties!$N$10)*(E100&lt;=Royalties!$N$11)*((E100-Royalties!$N$10)*Royalties!$O$10+Royalties!$P$10)+(E100&gt;=Royalties!$N$11)*(E100&lt;=Royalties!$N$12)*((E100-Royalties!$N$11)*Royalties!$O$11+Royalties!$P$11)+(E100&gt;Royalties!$N$12)*((E100-Royalties!$N$12)*Royalties!$O$12+Royalties!$P$12),Royalties!$O$14)</f>
        <v>0.20529833031594819</v>
      </c>
      <c r="G100" s="65">
        <f>(C100&lt;Royalties!$O$15)*(C100-Royalties!$O$15)*Royalties!$O$16</f>
        <v>0</v>
      </c>
      <c r="H100" s="83">
        <f>MAX(Royalties!$O$13,MIN(0.4,F100+G100))</f>
        <v>0.20529833031594819</v>
      </c>
      <c r="I100" s="70">
        <f t="shared" si="29"/>
        <v>0</v>
      </c>
      <c r="J100" s="70">
        <f t="shared" si="26"/>
        <v>13380.102331752665</v>
      </c>
      <c r="K100" s="70">
        <f>SUM(J$12:J100)</f>
        <v>9582747.6952479798</v>
      </c>
      <c r="L100" s="70">
        <f t="shared" si="27"/>
        <v>0.20529833031594816</v>
      </c>
      <c r="M100" s="70">
        <f>MAX(0,J100-I100)*H100+MIN(I100,J100)*Royalties!$O$17</f>
        <v>2746.912668165347</v>
      </c>
      <c r="N100" s="70">
        <f t="shared" si="24"/>
        <v>10633.189663587318</v>
      </c>
      <c r="O100" s="70">
        <f t="shared" si="28"/>
        <v>0</v>
      </c>
    </row>
    <row r="101" spans="1:15" x14ac:dyDescent="0.4">
      <c r="A101">
        <v>90</v>
      </c>
      <c r="B101" s="65">
        <f t="shared" si="23"/>
        <v>90</v>
      </c>
      <c r="C101" s="65">
        <f>VLOOKUP(B101,'Oil Production'!$A$13:$I$252,7,FALSE)</f>
        <v>213.59341694961768</v>
      </c>
      <c r="D101" s="70">
        <f t="shared" si="25"/>
        <v>63.701153517712712</v>
      </c>
      <c r="E101" s="65">
        <f>D101*Royalties!$T$6</f>
        <v>400.66815240724458</v>
      </c>
      <c r="F101" s="65">
        <f>MIN((E101&lt;=Royalties!$N$10)*Royalties!$P$9+(E101&gt;=Royalties!$N$10)*(E101&lt;=Royalties!$N$11)*((E101-Royalties!$N$10)*Royalties!$O$10+Royalties!$P$10)+(E101&gt;=Royalties!$N$11)*(E101&lt;=Royalties!$N$12)*((E101-Royalties!$N$11)*Royalties!$O$11+Royalties!$P$11)+(E101&gt;Royalties!$N$12)*((E101-Royalties!$N$12)*Royalties!$O$12+Royalties!$P$12),Royalties!$O$14)</f>
        <v>0.20576738820914367</v>
      </c>
      <c r="G101" s="65">
        <f>(C101&lt;Royalties!$O$15)*(C101-Royalties!$O$15)*Royalties!$O$16</f>
        <v>0</v>
      </c>
      <c r="H101" s="83">
        <f>MAX(Royalties!$O$13,MIN(0.4,F101+G101))</f>
        <v>0.20576738820914367</v>
      </c>
      <c r="I101" s="70">
        <f t="shared" si="29"/>
        <v>0</v>
      </c>
      <c r="J101" s="70">
        <f t="shared" si="26"/>
        <v>13606.147043480416</v>
      </c>
      <c r="K101" s="70">
        <f>SUM(J$12:J101)</f>
        <v>9596353.8422914594</v>
      </c>
      <c r="L101" s="70">
        <f t="shared" si="27"/>
        <v>0.20576738820914367</v>
      </c>
      <c r="M101" s="70">
        <f>MAX(0,J101-I101)*H101+MIN(I101,J101)*Royalties!$O$17</f>
        <v>2799.7013407265272</v>
      </c>
      <c r="N101" s="70">
        <f t="shared" si="24"/>
        <v>10806.445702753888</v>
      </c>
      <c r="O101" s="70">
        <f t="shared" si="28"/>
        <v>0</v>
      </c>
    </row>
    <row r="102" spans="1:15" x14ac:dyDescent="0.4">
      <c r="A102">
        <v>91</v>
      </c>
      <c r="B102" s="65">
        <f t="shared" si="23"/>
        <v>91</v>
      </c>
      <c r="C102" s="65">
        <f>VLOOKUP(B102,'Oil Production'!$A$13:$I$252,7,FALSE)</f>
        <v>209.82759126494057</v>
      </c>
      <c r="D102" s="70">
        <f t="shared" si="25"/>
        <v>63.806361151773316</v>
      </c>
      <c r="E102" s="65">
        <f>D102*Royalties!$T$6</f>
        <v>401.32988843603533</v>
      </c>
      <c r="F102" s="65">
        <f>MIN((E102&lt;=Royalties!$N$10)*Royalties!$P$9+(E102&gt;=Royalties!$N$10)*(E102&lt;=Royalties!$N$11)*((E102-Royalties!$N$10)*Royalties!$O$10+Royalties!$P$10)+(E102&gt;=Royalties!$N$11)*(E102&lt;=Royalties!$N$12)*((E102-Royalties!$N$11)*Royalties!$O$11+Royalties!$P$11)+(E102&gt;Royalties!$N$12)*((E102-Royalties!$N$12)*Royalties!$O$12+Royalties!$P$12),Royalties!$O$14)</f>
        <v>0.20623722078958512</v>
      </c>
      <c r="G102" s="65">
        <f>(C102&lt;Royalties!$O$15)*(C102-Royalties!$O$15)*Royalties!$O$16</f>
        <v>0</v>
      </c>
      <c r="H102" s="83">
        <f>MAX(Royalties!$O$13,MIN(0.4,F102+G102))</f>
        <v>0.20623722078958512</v>
      </c>
      <c r="I102" s="70">
        <f t="shared" si="29"/>
        <v>0</v>
      </c>
      <c r="J102" s="70">
        <f t="shared" si="26"/>
        <v>13388.335067857473</v>
      </c>
      <c r="K102" s="70">
        <f>SUM(J$12:J102)</f>
        <v>9609742.1773593165</v>
      </c>
      <c r="L102" s="70">
        <f t="shared" si="27"/>
        <v>0.20623722078958512</v>
      </c>
      <c r="M102" s="70">
        <f>MAX(0,J102-I102)*H102+MIN(I102,J102)*Royalties!$O$17</f>
        <v>2761.1730153946669</v>
      </c>
      <c r="N102" s="70">
        <f t="shared" si="24"/>
        <v>10627.162052462807</v>
      </c>
      <c r="O102" s="70">
        <f t="shared" si="28"/>
        <v>0</v>
      </c>
    </row>
    <row r="103" spans="1:15" x14ac:dyDescent="0.4">
      <c r="A103">
        <v>92</v>
      </c>
      <c r="B103" s="65">
        <f t="shared" si="23"/>
        <v>92</v>
      </c>
      <c r="C103" s="65">
        <f>VLOOKUP(B103,'Oil Production'!$A$13:$I$252,7,FALSE)</f>
        <v>199.57243395873229</v>
      </c>
      <c r="D103" s="70">
        <f t="shared" si="25"/>
        <v>63.911742544795153</v>
      </c>
      <c r="E103" s="65">
        <f>D103*Royalties!$T$6</f>
        <v>401.99271737567801</v>
      </c>
      <c r="F103" s="65">
        <f>MIN((E103&lt;=Royalties!$N$10)*Royalties!$P$9+(E103&gt;=Royalties!$N$10)*(E103&lt;=Royalties!$N$11)*((E103-Royalties!$N$10)*Royalties!$O$10+Royalties!$P$10)+(E103&gt;=Royalties!$N$11)*(E103&lt;=Royalties!$N$12)*((E103-Royalties!$N$11)*Royalties!$O$11+Royalties!$P$11)+(E103&gt;Royalties!$N$12)*((E103-Royalties!$N$12)*Royalties!$O$12+Royalties!$P$12),Royalties!$O$14)</f>
        <v>0.2067078293367314</v>
      </c>
      <c r="G103" s="65">
        <f>(C103&lt;Royalties!$O$15)*(C103-Royalties!$O$15)*Royalties!$O$16</f>
        <v>0</v>
      </c>
      <c r="H103" s="83">
        <f>MAX(Royalties!$O$13,MIN(0.4,F103+G103))</f>
        <v>0.2067078293367314</v>
      </c>
      <c r="I103" s="70">
        <f t="shared" si="29"/>
        <v>0</v>
      </c>
      <c r="J103" s="70">
        <f t="shared" si="26"/>
        <v>12755.022018208632</v>
      </c>
      <c r="K103" s="70">
        <f>SUM(J$12:J103)</f>
        <v>9622497.1993775256</v>
      </c>
      <c r="L103" s="70">
        <f t="shared" si="27"/>
        <v>0.2067078293367314</v>
      </c>
      <c r="M103" s="70">
        <f>MAX(0,J103-I103)*H103+MIN(I103,J103)*Royalties!$O$17</f>
        <v>2636.5629145261214</v>
      </c>
      <c r="N103" s="70">
        <f t="shared" si="24"/>
        <v>10118.459103682511</v>
      </c>
      <c r="O103" s="70">
        <f t="shared" si="28"/>
        <v>0</v>
      </c>
    </row>
    <row r="104" spans="1:15" x14ac:dyDescent="0.4">
      <c r="A104">
        <v>93</v>
      </c>
      <c r="B104" s="65">
        <f t="shared" si="23"/>
        <v>93</v>
      </c>
      <c r="C104" s="65">
        <f>VLOOKUP(B104,'Oil Production'!$A$13:$I$252,7,FALSE)</f>
        <v>202.72059196632472</v>
      </c>
      <c r="D104" s="70">
        <f t="shared" si="25"/>
        <v>64.01729798375527</v>
      </c>
      <c r="E104" s="65">
        <f>D104*Royalties!$T$6</f>
        <v>402.65664103120372</v>
      </c>
      <c r="F104" s="65">
        <f>MIN((E104&lt;=Royalties!$N$10)*Royalties!$P$9+(E104&gt;=Royalties!$N$10)*(E104&lt;=Royalties!$N$11)*((E104-Royalties!$N$10)*Royalties!$O$10+Royalties!$P$10)+(E104&gt;=Royalties!$N$11)*(E104&lt;=Royalties!$N$12)*((E104-Royalties!$N$11)*Royalties!$O$11+Royalties!$P$11)+(E104&gt;Royalties!$N$12)*((E104-Royalties!$N$12)*Royalties!$O$12+Royalties!$P$12),Royalties!$O$14)</f>
        <v>0.20717921513215465</v>
      </c>
      <c r="G104" s="65">
        <f>(C104&lt;Royalties!$O$15)*(C104-Royalties!$O$15)*Royalties!$O$16</f>
        <v>0</v>
      </c>
      <c r="H104" s="83">
        <f>MAX(Royalties!$O$13,MIN(0.4,F104+G104))</f>
        <v>0.20717921513215465</v>
      </c>
      <c r="I104" s="70">
        <f t="shared" si="29"/>
        <v>0</v>
      </c>
      <c r="J104" s="70">
        <f t="shared" si="26"/>
        <v>12977.624543351474</v>
      </c>
      <c r="K104" s="70">
        <f>SUM(J$12:J104)</f>
        <v>9635474.8239208777</v>
      </c>
      <c r="L104" s="70">
        <f t="shared" si="27"/>
        <v>0.20717921513215462</v>
      </c>
      <c r="M104" s="70">
        <f>MAX(0,J104-I104)*H104+MIN(I104,J104)*Royalties!$O$17</f>
        <v>2688.6940671713451</v>
      </c>
      <c r="N104" s="70">
        <f t="shared" si="24"/>
        <v>10288.930476180129</v>
      </c>
      <c r="O104" s="70">
        <f t="shared" si="28"/>
        <v>0</v>
      </c>
    </row>
    <row r="105" spans="1:15" x14ac:dyDescent="0.4">
      <c r="A105">
        <v>94</v>
      </c>
      <c r="B105" s="65">
        <f t="shared" si="23"/>
        <v>94</v>
      </c>
      <c r="C105" s="65">
        <f>VLOOKUP(B105,'Oil Production'!$A$13:$I$252,7,FALSE)</f>
        <v>192.88078630770906</v>
      </c>
      <c r="D105" s="70">
        <f t="shared" si="25"/>
        <v>64.12302775610469</v>
      </c>
      <c r="E105" s="65">
        <f>D105*Royalties!$T$6</f>
        <v>403.32166121062482</v>
      </c>
      <c r="F105" s="65">
        <f>MIN((E105&lt;=Royalties!$N$10)*Royalties!$P$9+(E105&gt;=Royalties!$N$10)*(E105&lt;=Royalties!$N$11)*((E105-Royalties!$N$10)*Royalties!$O$10+Royalties!$P$10)+(E105&gt;=Royalties!$N$11)*(E105&lt;=Royalties!$N$12)*((E105-Royalties!$N$11)*Royalties!$O$11+Royalties!$P$11)+(E105&gt;Royalties!$N$12)*((E105-Royalties!$N$12)*Royalties!$O$12+Royalties!$P$12),Royalties!$O$14)</f>
        <v>0.20765137945954365</v>
      </c>
      <c r="G105" s="65">
        <f>(C105&lt;Royalties!$O$15)*(C105-Royalties!$O$15)*Royalties!$O$16</f>
        <v>-1.5109384845927707E-3</v>
      </c>
      <c r="H105" s="83">
        <f>MAX(Royalties!$O$13,MIN(0.4,F105+G105))</f>
        <v>0.20614044097495088</v>
      </c>
      <c r="I105" s="70">
        <f t="shared" si="29"/>
        <v>0</v>
      </c>
      <c r="J105" s="70">
        <f t="shared" si="26"/>
        <v>12368.100014028525</v>
      </c>
      <c r="K105" s="70">
        <f>SUM(J$12:J105)</f>
        <v>9647842.9239349067</v>
      </c>
      <c r="L105" s="70">
        <f t="shared" si="27"/>
        <v>0.20614044097495088</v>
      </c>
      <c r="M105" s="70">
        <f>MAX(0,J105-I105)*H105+MIN(I105,J105)*Royalties!$O$17</f>
        <v>2549.5655909141365</v>
      </c>
      <c r="N105" s="70">
        <f t="shared" si="24"/>
        <v>9818.5344231143881</v>
      </c>
      <c r="O105" s="70">
        <f t="shared" si="28"/>
        <v>0</v>
      </c>
    </row>
    <row r="106" spans="1:15" x14ac:dyDescent="0.4">
      <c r="A106">
        <v>95</v>
      </c>
      <c r="B106" s="65">
        <f t="shared" si="23"/>
        <v>95</v>
      </c>
      <c r="C106" s="65">
        <f>VLOOKUP(B106,'Oil Production'!$A$13:$I$252,7,FALSE)</f>
        <v>195.99106632827898</v>
      </c>
      <c r="D106" s="70">
        <f t="shared" si="25"/>
        <v>64.228932149769179</v>
      </c>
      <c r="E106" s="65">
        <f>D106*Royalties!$T$6</f>
        <v>403.98777972493968</v>
      </c>
      <c r="F106" s="65">
        <f>MIN((E106&lt;=Royalties!$N$10)*Royalties!$P$9+(E106&gt;=Royalties!$N$10)*(E106&lt;=Royalties!$N$11)*((E106-Royalties!$N$10)*Royalties!$O$10+Royalties!$P$10)+(E106&gt;=Royalties!$N$11)*(E106&lt;=Royalties!$N$12)*((E106-Royalties!$N$11)*Royalties!$O$11+Royalties!$P$11)+(E106&gt;Royalties!$N$12)*((E106-Royalties!$N$12)*Royalties!$O$12+Royalties!$P$12),Royalties!$O$14)</f>
        <v>0.20812432360470717</v>
      </c>
      <c r="G106" s="65">
        <f>(C106&lt;Royalties!$O$15)*(C106-Royalties!$O$15)*Royalties!$O$16</f>
        <v>0</v>
      </c>
      <c r="H106" s="83">
        <f>MAX(Royalties!$O$13,MIN(0.4,F106+G106))</f>
        <v>0.20812432360470717</v>
      </c>
      <c r="I106" s="70">
        <f t="shared" si="29"/>
        <v>0</v>
      </c>
      <c r="J106" s="70">
        <f t="shared" si="26"/>
        <v>12588.296901159942</v>
      </c>
      <c r="K106" s="70">
        <f>SUM(J$12:J106)</f>
        <v>9660431.2208360676</v>
      </c>
      <c r="L106" s="70">
        <f t="shared" si="27"/>
        <v>0.20812432360470717</v>
      </c>
      <c r="M106" s="70">
        <f>MAX(0,J106-I106)*H106+MIN(I106,J106)*Royalties!$O$17</f>
        <v>2619.9307778891443</v>
      </c>
      <c r="N106" s="70">
        <f t="shared" si="24"/>
        <v>9968.3661232707964</v>
      </c>
      <c r="O106" s="70">
        <f t="shared" si="28"/>
        <v>0</v>
      </c>
    </row>
    <row r="107" spans="1:15" x14ac:dyDescent="0.4">
      <c r="A107">
        <v>96</v>
      </c>
      <c r="B107" s="65">
        <f t="shared" si="23"/>
        <v>96</v>
      </c>
      <c r="C107" s="65">
        <f>VLOOKUP(B107,'Oil Production'!$A$13:$I$252,7,FALSE)</f>
        <v>192.70704442099668</v>
      </c>
      <c r="D107" s="70">
        <f t="shared" si="25"/>
        <v>64.335011453150045</v>
      </c>
      <c r="E107" s="65">
        <f>D107*Royalties!$T$6</f>
        <v>404.6549983881377</v>
      </c>
      <c r="F107" s="65">
        <f>MIN((E107&lt;=Royalties!$N$10)*Royalties!$P$9+(E107&gt;=Royalties!$N$10)*(E107&lt;=Royalties!$N$11)*((E107-Royalties!$N$10)*Royalties!$O$10+Royalties!$P$10)+(E107&gt;=Royalties!$N$11)*(E107&lt;=Royalties!$N$12)*((E107-Royalties!$N$11)*Royalties!$O$11+Royalties!$P$11)+(E107&gt;Royalties!$N$12)*((E107-Royalties!$N$12)*Royalties!$O$12+Royalties!$P$12),Royalties!$O$14)</f>
        <v>0.20859804885557778</v>
      </c>
      <c r="G107" s="65">
        <f>(C107&lt;Royalties!$O$15)*(C107-Royalties!$O$15)*Royalties!$O$16</f>
        <v>-1.7454900316544808E-3</v>
      </c>
      <c r="H107" s="83">
        <f>MAX(Royalties!$O$13,MIN(0.4,F107+G107))</f>
        <v>0.20685255882392331</v>
      </c>
      <c r="I107" s="70">
        <f t="shared" si="29"/>
        <v>0</v>
      </c>
      <c r="J107" s="70">
        <f t="shared" si="26"/>
        <v>12397.809909927517</v>
      </c>
      <c r="K107" s="70">
        <f>SUM(J$12:J107)</f>
        <v>9672829.0307459943</v>
      </c>
      <c r="L107" s="70">
        <f t="shared" si="27"/>
        <v>0.20685255882392334</v>
      </c>
      <c r="M107" s="70">
        <f>MAX(0,J107-I107)*H107+MIN(I107,J107)*Royalties!$O$17</f>
        <v>2564.5187036811012</v>
      </c>
      <c r="N107" s="70">
        <f t="shared" si="24"/>
        <v>9833.2912062464166</v>
      </c>
      <c r="O107" s="70">
        <f t="shared" si="28"/>
        <v>0</v>
      </c>
    </row>
    <row r="108" spans="1:15" x14ac:dyDescent="0.4">
      <c r="A108">
        <v>97</v>
      </c>
      <c r="B108" s="65">
        <f t="shared" si="23"/>
        <v>97</v>
      </c>
      <c r="C108" s="65">
        <f>VLOOKUP(B108,'Oil Production'!$A$13:$I$252,7,FALSE)</f>
        <v>171.30785789794754</v>
      </c>
      <c r="D108" s="70">
        <f t="shared" si="25"/>
        <v>64.441265955124891</v>
      </c>
      <c r="E108" s="65">
        <f>D108*Royalties!$T$6</f>
        <v>405.32331901720408</v>
      </c>
      <c r="F108" s="65">
        <f>MIN((E108&lt;=Royalties!$N$10)*Royalties!$P$9+(E108&gt;=Royalties!$N$10)*(E108&lt;=Royalties!$N$11)*((E108-Royalties!$N$10)*Royalties!$O$10+Royalties!$P$10)+(E108&gt;=Royalties!$N$11)*(E108&lt;=Royalties!$N$12)*((E108-Royalties!$N$11)*Royalties!$O$11+Royalties!$P$11)+(E108&gt;Royalties!$N$12)*((E108-Royalties!$N$12)*Royalties!$O$12+Royalties!$P$12),Royalties!$O$14)</f>
        <v>0.2090725565022149</v>
      </c>
      <c r="G108" s="65">
        <f>(C108&lt;Royalties!$O$15)*(C108-Royalties!$O$15)*Royalties!$O$16</f>
        <v>-3.0634391837770818E-2</v>
      </c>
      <c r="H108" s="83">
        <f>MAX(Royalties!$O$13,MIN(0.4,F108+G108))</f>
        <v>0.17843816466444409</v>
      </c>
      <c r="I108" s="70">
        <f t="shared" si="29"/>
        <v>0</v>
      </c>
      <c r="J108" s="70">
        <f t="shared" si="26"/>
        <v>11039.29523100438</v>
      </c>
      <c r="K108" s="70">
        <f>SUM(J$12:J108)</f>
        <v>9683868.3259769995</v>
      </c>
      <c r="L108" s="70">
        <f t="shared" si="27"/>
        <v>0.17843816466444409</v>
      </c>
      <c r="M108" s="70">
        <f>MAX(0,J108-I108)*H108+MIN(I108,J108)*Royalties!$O$17</f>
        <v>1969.8315802093721</v>
      </c>
      <c r="N108" s="70">
        <f t="shared" si="24"/>
        <v>9069.463650795009</v>
      </c>
      <c r="O108" s="70">
        <f t="shared" si="28"/>
        <v>0</v>
      </c>
    </row>
    <row r="109" spans="1:15" x14ac:dyDescent="0.4">
      <c r="A109">
        <v>98</v>
      </c>
      <c r="B109" s="65">
        <f t="shared" si="23"/>
        <v>98</v>
      </c>
      <c r="C109" s="65">
        <f>VLOOKUP(B109,'Oil Production'!$A$13:$I$252,7,FALSE)</f>
        <v>186.69500680131023</v>
      </c>
      <c r="D109" s="70">
        <f t="shared" si="25"/>
        <v>64.547695945048446</v>
      </c>
      <c r="E109" s="65">
        <f>D109*Royalties!$T$6</f>
        <v>405.99274343212517</v>
      </c>
      <c r="F109" s="65">
        <f>MIN((E109&lt;=Royalties!$N$10)*Royalties!$P$9+(E109&gt;=Royalties!$N$10)*(E109&lt;=Royalties!$N$11)*((E109-Royalties!$N$10)*Royalties!$O$10+Royalties!$P$10)+(E109&gt;=Royalties!$N$11)*(E109&lt;=Royalties!$N$12)*((E109-Royalties!$N$11)*Royalties!$O$11+Royalties!$P$11)+(E109&gt;Royalties!$N$12)*((E109-Royalties!$N$12)*Royalties!$O$12+Royalties!$P$12),Royalties!$O$14)</f>
        <v>0.20954784783680888</v>
      </c>
      <c r="G109" s="65">
        <f>(C109&lt;Royalties!$O$15)*(C109-Royalties!$O$15)*Royalties!$O$16</f>
        <v>-9.8617408182311919E-3</v>
      </c>
      <c r="H109" s="83">
        <f>MAX(Royalties!$O$13,MIN(0.4,F109+G109))</f>
        <v>0.1996861070185777</v>
      </c>
      <c r="I109" s="70">
        <f t="shared" si="29"/>
        <v>0</v>
      </c>
      <c r="J109" s="70">
        <f t="shared" si="26"/>
        <v>12050.732533469723</v>
      </c>
      <c r="K109" s="70">
        <f>SUM(J$12:J109)</f>
        <v>9695919.0585104693</v>
      </c>
      <c r="L109" s="70">
        <f t="shared" si="27"/>
        <v>0.1996861070185777</v>
      </c>
      <c r="M109" s="70">
        <f>MAX(0,J109-I109)*H109+MIN(I109,J109)*Royalties!$O$17</f>
        <v>2406.3638663306911</v>
      </c>
      <c r="N109" s="70">
        <f t="shared" si="24"/>
        <v>9644.3686671390315</v>
      </c>
      <c r="O109" s="70">
        <f t="shared" si="28"/>
        <v>0</v>
      </c>
    </row>
    <row r="110" spans="1:15" x14ac:dyDescent="0.4">
      <c r="A110">
        <v>99</v>
      </c>
      <c r="B110" s="65">
        <f t="shared" si="23"/>
        <v>99</v>
      </c>
      <c r="C110" s="65">
        <f>VLOOKUP(B110,'Oil Production'!$A$13:$I$252,7,FALSE)</f>
        <v>177.77773093245924</v>
      </c>
      <c r="D110" s="70">
        <f t="shared" si="25"/>
        <v>64.654301712753323</v>
      </c>
      <c r="E110" s="65">
        <f>D110*Royalties!$T$6</f>
        <v>406.66327345589298</v>
      </c>
      <c r="F110" s="65">
        <f>MIN((E110&lt;=Royalties!$N$10)*Royalties!$P$9+(E110&gt;=Royalties!$N$10)*(E110&lt;=Royalties!$N$11)*((E110-Royalties!$N$10)*Royalties!$O$10+Royalties!$P$10)+(E110&gt;=Royalties!$N$11)*(E110&lt;=Royalties!$N$12)*((E110-Royalties!$N$11)*Royalties!$O$11+Royalties!$P$11)+(E110&gt;Royalties!$N$12)*((E110-Royalties!$N$12)*Royalties!$O$12+Royalties!$P$12),Royalties!$O$14)</f>
        <v>0.21002392415368404</v>
      </c>
      <c r="G110" s="65">
        <f>(C110&lt;Royalties!$O$15)*(C110-Royalties!$O$15)*Royalties!$O$16</f>
        <v>-2.1900063241180035E-2</v>
      </c>
      <c r="H110" s="83">
        <f>MAX(Royalties!$O$13,MIN(0.4,F110+G110))</f>
        <v>0.18812386091250399</v>
      </c>
      <c r="I110" s="70">
        <f t="shared" si="29"/>
        <v>0</v>
      </c>
      <c r="J110" s="70">
        <f t="shared" si="26"/>
        <v>11494.095053515899</v>
      </c>
      <c r="K110" s="70">
        <f>SUM(J$12:J110)</f>
        <v>9707413.1535639856</v>
      </c>
      <c r="L110" s="70">
        <f t="shared" si="27"/>
        <v>0.18812386091250399</v>
      </c>
      <c r="M110" s="70">
        <f>MAX(0,J110-I110)*H110+MIN(I110,J110)*Royalties!$O$17</f>
        <v>2162.3135391627252</v>
      </c>
      <c r="N110" s="70">
        <f t="shared" si="24"/>
        <v>9331.7815143531734</v>
      </c>
      <c r="O110" s="70">
        <f t="shared" si="28"/>
        <v>0</v>
      </c>
    </row>
    <row r="111" spans="1:15" x14ac:dyDescent="0.4">
      <c r="A111">
        <v>100</v>
      </c>
      <c r="B111" s="65">
        <f t="shared" si="23"/>
        <v>100</v>
      </c>
      <c r="C111" s="65">
        <f>VLOOKUP(B111,'Oil Production'!$A$13:$I$252,7,FALSE)</f>
        <v>180.78866531548556</v>
      </c>
      <c r="D111" s="70">
        <f t="shared" si="25"/>
        <v>64.761083548550815</v>
      </c>
      <c r="E111" s="65">
        <f>D111*Royalties!$T$6</f>
        <v>407.33491091451043</v>
      </c>
      <c r="F111" s="65">
        <f>MIN((E111&lt;=Royalties!$N$10)*Royalties!$P$9+(E111&gt;=Royalties!$N$10)*(E111&lt;=Royalties!$N$11)*((E111-Royalties!$N$10)*Royalties!$O$10+Royalties!$P$10)+(E111&gt;=Royalties!$N$11)*(E111&lt;=Royalties!$N$12)*((E111-Royalties!$N$11)*Royalties!$O$11+Royalties!$P$11)+(E111&gt;Royalties!$N$12)*((E111-Royalties!$N$12)*Royalties!$O$12+Royalties!$P$12),Royalties!$O$14)</f>
        <v>0.21050078674930242</v>
      </c>
      <c r="G111" s="65">
        <f>(C111&lt;Royalties!$O$15)*(C111-Royalties!$O$15)*Royalties!$O$16</f>
        <v>-1.7835301824094495E-2</v>
      </c>
      <c r="H111" s="83">
        <f>MAX(Royalties!$O$13,MIN(0.4,F111+G111))</f>
        <v>0.19266548492520794</v>
      </c>
      <c r="I111" s="70">
        <f t="shared" si="29"/>
        <v>0</v>
      </c>
      <c r="J111" s="70">
        <f t="shared" si="26"/>
        <v>11708.06985912715</v>
      </c>
      <c r="K111" s="70">
        <f>SUM(J$12:J111)</f>
        <v>9719121.2234231122</v>
      </c>
      <c r="L111" s="70">
        <f t="shared" si="27"/>
        <v>0.19266548492520794</v>
      </c>
      <c r="M111" s="70">
        <f>MAX(0,J111-I111)*H111+MIN(I111,J111)*Royalties!$O$17</f>
        <v>2255.7409569469432</v>
      </c>
      <c r="N111" s="70">
        <f t="shared" si="24"/>
        <v>9452.3289021802066</v>
      </c>
      <c r="O111" s="70">
        <f t="shared" si="28"/>
        <v>0</v>
      </c>
    </row>
    <row r="112" spans="1:15" x14ac:dyDescent="0.4">
      <c r="A112">
        <v>101</v>
      </c>
      <c r="B112" s="65">
        <f t="shared" si="23"/>
        <v>101</v>
      </c>
      <c r="C112" s="65">
        <f>VLOOKUP(B112,'Oil Production'!$A$13:$I$252,7,FALSE)</f>
        <v>172.20638184170821</v>
      </c>
      <c r="D112" s="70">
        <f t="shared" si="25"/>
        <v>64.8680417432317</v>
      </c>
      <c r="E112" s="65">
        <f>D112*Royalties!$T$6</f>
        <v>408.00765763699621</v>
      </c>
      <c r="F112" s="65">
        <f>MIN((E112&lt;=Royalties!$N$10)*Royalties!$P$9+(E112&gt;=Royalties!$N$10)*(E112&lt;=Royalties!$N$11)*((E112-Royalties!$N$10)*Royalties!$O$10+Royalties!$P$10)+(E112&gt;=Royalties!$N$11)*(E112&lt;=Royalties!$N$12)*((E112-Royalties!$N$11)*Royalties!$O$11+Royalties!$P$11)+(E112&gt;Royalties!$N$12)*((E112-Royalties!$N$12)*Royalties!$O$12+Royalties!$P$12),Royalties!$O$14)</f>
        <v>0.21097843692226731</v>
      </c>
      <c r="G112" s="65">
        <f>(C112&lt;Royalties!$O$15)*(C112-Royalties!$O$15)*Royalties!$O$16</f>
        <v>-2.9421384513693923E-2</v>
      </c>
      <c r="H112" s="83">
        <f>MAX(Royalties!$O$13,MIN(0.4,F112+G112))</f>
        <v>0.18155705240857339</v>
      </c>
      <c r="I112" s="70">
        <f t="shared" si="29"/>
        <v>0</v>
      </c>
      <c r="J112" s="70">
        <f t="shared" si="26"/>
        <v>11170.690765758825</v>
      </c>
      <c r="K112" s="70">
        <f>SUM(J$12:J112)</f>
        <v>9730291.9141888712</v>
      </c>
      <c r="L112" s="70">
        <f t="shared" si="27"/>
        <v>0.18155705240857339</v>
      </c>
      <c r="M112" s="70">
        <f>MAX(0,J112-I112)*H112+MIN(I112,J112)*Royalties!$O$17</f>
        <v>2028.117688798842</v>
      </c>
      <c r="N112" s="70">
        <f t="shared" si="24"/>
        <v>9142.5730769599832</v>
      </c>
      <c r="O112" s="70">
        <f t="shared" si="28"/>
        <v>0</v>
      </c>
    </row>
    <row r="113" spans="1:15" x14ac:dyDescent="0.4">
      <c r="A113">
        <v>102</v>
      </c>
      <c r="B113" s="65">
        <f t="shared" si="23"/>
        <v>102</v>
      </c>
      <c r="C113" s="65">
        <f>VLOOKUP(B113,'Oil Production'!$A$13:$I$252,7,FALSE)</f>
        <v>175.17571891698753</v>
      </c>
      <c r="D113" s="70">
        <f t="shared" si="25"/>
        <v>64.975176588067001</v>
      </c>
      <c r="E113" s="65">
        <f>D113*Royalties!$T$6</f>
        <v>408.68151545538973</v>
      </c>
      <c r="F113" s="65">
        <f>MIN((E113&lt;=Royalties!$N$10)*Royalties!$P$9+(E113&gt;=Royalties!$N$10)*(E113&lt;=Royalties!$N$11)*((E113-Royalties!$N$10)*Royalties!$O$10+Royalties!$P$10)+(E113&gt;=Royalties!$N$11)*(E113&lt;=Royalties!$N$12)*((E113-Royalties!$N$11)*Royalties!$O$11+Royalties!$P$11)+(E113&gt;Royalties!$N$12)*((E113-Royalties!$N$12)*Royalties!$O$12+Royalties!$P$12),Royalties!$O$14)</f>
        <v>0.21145687597332674</v>
      </c>
      <c r="G113" s="65">
        <f>(C113&lt;Royalties!$O$15)*(C113-Royalties!$O$15)*Royalties!$O$16</f>
        <v>-2.5412779462066829E-2</v>
      </c>
      <c r="H113" s="83">
        <f>MAX(Royalties!$O$13,MIN(0.4,F113+G113))</f>
        <v>0.18604409651125992</v>
      </c>
      <c r="I113" s="70">
        <f t="shared" si="29"/>
        <v>0</v>
      </c>
      <c r="J113" s="70">
        <f t="shared" si="26"/>
        <v>11382.073270572853</v>
      </c>
      <c r="K113" s="70">
        <f>SUM(J$12:J113)</f>
        <v>9741673.9874594435</v>
      </c>
      <c r="L113" s="70">
        <f t="shared" si="27"/>
        <v>0.18604409651125992</v>
      </c>
      <c r="M113" s="70">
        <f>MAX(0,J113-I113)*H113+MIN(I113,J113)*Royalties!$O$17</f>
        <v>2117.5675380486878</v>
      </c>
      <c r="N113" s="70">
        <f t="shared" si="24"/>
        <v>9264.5057325241651</v>
      </c>
      <c r="O113" s="70">
        <f t="shared" si="28"/>
        <v>0</v>
      </c>
    </row>
    <row r="114" spans="1:15" x14ac:dyDescent="0.4">
      <c r="A114">
        <v>103</v>
      </c>
      <c r="B114" s="65">
        <f t="shared" si="23"/>
        <v>103</v>
      </c>
      <c r="C114" s="65">
        <f>VLOOKUP(B114,'Oil Production'!$A$13:$I$252,7,FALSE)</f>
        <v>172.42930554345367</v>
      </c>
      <c r="D114" s="70">
        <f t="shared" si="25"/>
        <v>65.082488374808818</v>
      </c>
      <c r="E114" s="65">
        <f>D114*Royalties!$T$6</f>
        <v>409.35648620475627</v>
      </c>
      <c r="F114" s="65">
        <f>MIN((E114&lt;=Royalties!$N$10)*Royalties!$P$9+(E114&gt;=Royalties!$N$10)*(E114&lt;=Royalties!$N$11)*((E114-Royalties!$N$10)*Royalties!$O$10+Royalties!$P$10)+(E114&gt;=Royalties!$N$11)*(E114&lt;=Royalties!$N$12)*((E114-Royalties!$N$11)*Royalties!$O$11+Royalties!$P$11)+(E114&gt;Royalties!$N$12)*((E114-Royalties!$N$12)*Royalties!$O$12+Royalties!$P$12),Royalties!$O$14)</f>
        <v>0.21183122961985495</v>
      </c>
      <c r="G114" s="65">
        <f>(C114&lt;Royalties!$O$15)*(C114-Royalties!$O$15)*Royalties!$O$16</f>
        <v>-2.9120437516337552E-2</v>
      </c>
      <c r="H114" s="83">
        <f>MAX(Royalties!$O$13,MIN(0.4,F114+G114))</f>
        <v>0.1827107921035174</v>
      </c>
      <c r="I114" s="70">
        <f t="shared" si="29"/>
        <v>0</v>
      </c>
      <c r="J114" s="70">
        <f t="shared" si="26"/>
        <v>11222.12827350818</v>
      </c>
      <c r="K114" s="70">
        <f>SUM(J$12:J114)</f>
        <v>9752896.1157329511</v>
      </c>
      <c r="L114" s="70">
        <f t="shared" si="27"/>
        <v>0.1827107921035174</v>
      </c>
      <c r="M114" s="70">
        <f>MAX(0,J114-I114)*H114+MIN(I114,J114)*Royalties!$O$17</f>
        <v>2050.4039459399578</v>
      </c>
      <c r="N114" s="70">
        <f t="shared" si="24"/>
        <v>9171.7243275682231</v>
      </c>
      <c r="O114" s="70">
        <f t="shared" si="28"/>
        <v>0</v>
      </c>
    </row>
    <row r="115" spans="1:15" x14ac:dyDescent="0.4">
      <c r="A115">
        <v>104</v>
      </c>
      <c r="B115" s="65">
        <f t="shared" si="23"/>
        <v>104</v>
      </c>
      <c r="C115" s="65">
        <f>VLOOKUP(B115,'Oil Production'!$A$13:$I$252,7,FALSE)</f>
        <v>164.31642208428821</v>
      </c>
      <c r="D115" s="70">
        <f t="shared" si="25"/>
        <v>65.189977395691088</v>
      </c>
      <c r="E115" s="65">
        <f>D115*Royalties!$T$6</f>
        <v>410.03257172319178</v>
      </c>
      <c r="F115" s="65">
        <f>MIN((E115&lt;=Royalties!$N$10)*Royalties!$P$9+(E115&gt;=Royalties!$N$10)*(E115&lt;=Royalties!$N$11)*((E115-Royalties!$N$10)*Royalties!$O$10+Royalties!$P$10)+(E115&gt;=Royalties!$N$11)*(E115&lt;=Royalties!$N$12)*((E115-Royalties!$N$11)*Royalties!$O$11+Royalties!$P$11)+(E115&gt;Royalties!$N$12)*((E115-Royalties!$N$12)*Royalties!$O$12+Royalties!$P$12),Royalties!$O$14)</f>
        <v>0.21209490297204481</v>
      </c>
      <c r="G115" s="65">
        <f>(C115&lt;Royalties!$O$15)*(C115-Royalties!$O$15)*Royalties!$O$16</f>
        <v>-4.0072830186210925E-2</v>
      </c>
      <c r="H115" s="83">
        <f>MAX(Royalties!$O$13,MIN(0.4,F115+G115))</f>
        <v>0.17202207278583387</v>
      </c>
      <c r="I115" s="70">
        <f t="shared" si="29"/>
        <v>0</v>
      </c>
      <c r="J115" s="70">
        <f t="shared" si="26"/>
        <v>10711.783841415585</v>
      </c>
      <c r="K115" s="70">
        <f>SUM(J$12:J115)</f>
        <v>9763607.8995743673</v>
      </c>
      <c r="L115" s="70">
        <f t="shared" si="27"/>
        <v>0.17202207278583387</v>
      </c>
      <c r="M115" s="70">
        <f>MAX(0,J115-I115)*H115+MIN(I115,J115)*Royalties!$O$17</f>
        <v>1842.6632596341108</v>
      </c>
      <c r="N115" s="70">
        <f t="shared" si="24"/>
        <v>8869.1205817814734</v>
      </c>
      <c r="O115" s="70">
        <f t="shared" si="28"/>
        <v>0</v>
      </c>
    </row>
    <row r="116" spans="1:15" x14ac:dyDescent="0.4">
      <c r="A116">
        <v>105</v>
      </c>
      <c r="B116" s="65">
        <f t="shared" si="23"/>
        <v>105</v>
      </c>
      <c r="C116" s="65">
        <f>VLOOKUP(B116,'Oil Production'!$A$13:$I$252,7,FALSE)</f>
        <v>167.22218170980341</v>
      </c>
      <c r="D116" s="70">
        <f t="shared" si="25"/>
        <v>65.297643943430415</v>
      </c>
      <c r="E116" s="65">
        <f>D116*Royalties!$T$6</f>
        <v>410.70977385182806</v>
      </c>
      <c r="F116" s="65">
        <f>MIN((E116&lt;=Royalties!$N$10)*Royalties!$P$9+(E116&gt;=Royalties!$N$10)*(E116&lt;=Royalties!$N$11)*((E116-Royalties!$N$10)*Royalties!$O$10+Royalties!$P$10)+(E116&gt;=Royalties!$N$11)*(E116&lt;=Royalties!$N$12)*((E116-Royalties!$N$11)*Royalties!$O$11+Royalties!$P$11)+(E116&gt;Royalties!$N$12)*((E116-Royalties!$N$12)*Royalties!$O$12+Royalties!$P$12),Royalties!$O$14)</f>
        <v>0.21235901180221295</v>
      </c>
      <c r="G116" s="65">
        <f>(C116&lt;Royalties!$O$15)*(C116-Royalties!$O$15)*Royalties!$O$16</f>
        <v>-3.6150054691765403E-2</v>
      </c>
      <c r="H116" s="83">
        <f>MAX(Royalties!$O$13,MIN(0.4,F116+G116))</f>
        <v>0.17620895711044754</v>
      </c>
      <c r="I116" s="70">
        <f t="shared" si="29"/>
        <v>0</v>
      </c>
      <c r="J116" s="70">
        <f t="shared" si="26"/>
        <v>10919.214480730365</v>
      </c>
      <c r="K116" s="70">
        <f>SUM(J$12:J116)</f>
        <v>9774527.1140550971</v>
      </c>
      <c r="L116" s="70">
        <f t="shared" si="27"/>
        <v>0.17620895711044754</v>
      </c>
      <c r="M116" s="70">
        <f>MAX(0,J116-I116)*H116+MIN(I116,J116)*Royalties!$O$17</f>
        <v>1924.0633961147946</v>
      </c>
      <c r="N116" s="70">
        <f t="shared" si="24"/>
        <v>8995.1510846155707</v>
      </c>
      <c r="O116" s="70">
        <f t="shared" si="28"/>
        <v>0</v>
      </c>
    </row>
    <row r="117" spans="1:15" x14ac:dyDescent="0.4">
      <c r="A117">
        <v>106</v>
      </c>
      <c r="B117" s="65">
        <f t="shared" si="23"/>
        <v>106</v>
      </c>
      <c r="C117" s="65">
        <f>VLOOKUP(B117,'Oil Production'!$A$13:$I$252,7,FALSE)</f>
        <v>159.3988516687532</v>
      </c>
      <c r="D117" s="70">
        <f t="shared" si="25"/>
        <v>65.405488311226833</v>
      </c>
      <c r="E117" s="65">
        <f>D117*Royalties!$T$6</f>
        <v>411.38809443483763</v>
      </c>
      <c r="F117" s="65">
        <f>MIN((E117&lt;=Royalties!$N$10)*Royalties!$P$9+(E117&gt;=Royalties!$N$10)*(E117&lt;=Royalties!$N$11)*((E117-Royalties!$N$10)*Royalties!$O$10+Royalties!$P$10)+(E117&gt;=Royalties!$N$11)*(E117&lt;=Royalties!$N$12)*((E117-Royalties!$N$11)*Royalties!$O$11+Royalties!$P$11)+(E117&gt;Royalties!$N$12)*((E117-Royalties!$N$12)*Royalties!$O$12+Royalties!$P$12),Royalties!$O$14)</f>
        <v>0.21262355682958667</v>
      </c>
      <c r="G117" s="65">
        <f>(C117&lt;Royalties!$O$15)*(C117-Royalties!$O$15)*Royalties!$O$16</f>
        <v>-4.6711550247183188E-2</v>
      </c>
      <c r="H117" s="83">
        <f>MAX(Royalties!$O$13,MIN(0.4,F117+G117))</f>
        <v>0.16591200658240349</v>
      </c>
      <c r="I117" s="70">
        <f t="shared" si="29"/>
        <v>0</v>
      </c>
      <c r="J117" s="70">
        <f t="shared" si="26"/>
        <v>10425.559729643617</v>
      </c>
      <c r="K117" s="70">
        <f>SUM(J$12:J117)</f>
        <v>9784952.6737847403</v>
      </c>
      <c r="L117" s="70">
        <f t="shared" si="27"/>
        <v>0.16591200658240349</v>
      </c>
      <c r="M117" s="70">
        <f>MAX(0,J117-I117)*H117+MIN(I117,J117)*Royalties!$O$17</f>
        <v>1729.7255344898726</v>
      </c>
      <c r="N117" s="70">
        <f t="shared" si="24"/>
        <v>8695.8341951537441</v>
      </c>
      <c r="O117" s="70">
        <f t="shared" si="28"/>
        <v>0</v>
      </c>
    </row>
    <row r="118" spans="1:15" x14ac:dyDescent="0.4">
      <c r="A118">
        <v>107</v>
      </c>
      <c r="B118" s="65">
        <f t="shared" si="23"/>
        <v>107</v>
      </c>
      <c r="C118" s="65">
        <f>VLOOKUP(B118,'Oil Production'!$A$13:$I$252,7,FALSE)</f>
        <v>162.26217419482418</v>
      </c>
      <c r="D118" s="70">
        <f t="shared" si="25"/>
        <v>65.51351079276462</v>
      </c>
      <c r="E118" s="65">
        <f>D118*Royalties!$T$6</f>
        <v>412.06753531943883</v>
      </c>
      <c r="F118" s="65">
        <f>MIN((E118&lt;=Royalties!$N$10)*Royalties!$P$9+(E118&gt;=Royalties!$N$10)*(E118&lt;=Royalties!$N$11)*((E118-Royalties!$N$10)*Royalties!$O$10+Royalties!$P$10)+(E118&gt;=Royalties!$N$11)*(E118&lt;=Royalties!$N$12)*((E118-Royalties!$N$11)*Royalties!$O$11+Royalties!$P$11)+(E118&gt;Royalties!$N$12)*((E118-Royalties!$N$12)*Royalties!$O$12+Royalties!$P$12),Royalties!$O$14)</f>
        <v>0.21288853877458114</v>
      </c>
      <c r="G118" s="65">
        <f>(C118&lt;Royalties!$O$15)*(C118-Royalties!$O$15)*Royalties!$O$16</f>
        <v>-4.2846064836987358E-2</v>
      </c>
      <c r="H118" s="83">
        <f>MAX(Royalties!$O$13,MIN(0.4,F118+G118))</f>
        <v>0.17004247393759378</v>
      </c>
      <c r="I118" s="70">
        <f t="shared" si="29"/>
        <v>0</v>
      </c>
      <c r="J118" s="70">
        <f t="shared" si="26"/>
        <v>10630.364700370066</v>
      </c>
      <c r="K118" s="70">
        <f>SUM(J$12:J118)</f>
        <v>9795583.0384851098</v>
      </c>
      <c r="L118" s="70">
        <f t="shared" si="27"/>
        <v>0.17004247393759378</v>
      </c>
      <c r="M118" s="70">
        <f>MAX(0,J118-I118)*H118+MIN(I118,J118)*Royalties!$O$17</f>
        <v>1807.613512509794</v>
      </c>
      <c r="N118" s="70">
        <f t="shared" si="24"/>
        <v>8822.7511878602727</v>
      </c>
      <c r="O118" s="70">
        <f t="shared" si="28"/>
        <v>0</v>
      </c>
    </row>
    <row r="119" spans="1:15" x14ac:dyDescent="0.4">
      <c r="A119">
        <v>108</v>
      </c>
      <c r="B119" s="65">
        <f t="shared" si="23"/>
        <v>108</v>
      </c>
      <c r="C119" s="65">
        <f>VLOOKUP(B119,'Oil Production'!$A$13:$I$252,7,FALSE)</f>
        <v>159.8310893085436</v>
      </c>
      <c r="D119" s="70">
        <f t="shared" si="25"/>
        <v>65.621711682213103</v>
      </c>
      <c r="E119" s="65">
        <f>D119*Royalties!$T$6</f>
        <v>412.74809835590082</v>
      </c>
      <c r="F119" s="65">
        <f>MIN((E119&lt;=Royalties!$N$10)*Royalties!$P$9+(E119&gt;=Royalties!$N$10)*(E119&lt;=Royalties!$N$11)*((E119-Royalties!$N$10)*Royalties!$O$10+Royalties!$P$10)+(E119&gt;=Royalties!$N$11)*(E119&lt;=Royalties!$N$12)*((E119-Royalties!$N$11)*Royalties!$O$11+Royalties!$P$11)+(E119&gt;Royalties!$N$12)*((E119-Royalties!$N$12)*Royalties!$O$12+Royalties!$P$12),Royalties!$O$14)</f>
        <v>0.21315395835880133</v>
      </c>
      <c r="G119" s="65">
        <f>(C119&lt;Royalties!$O$15)*(C119-Royalties!$O$15)*Royalties!$O$16</f>
        <v>-4.6128029433466146E-2</v>
      </c>
      <c r="H119" s="83">
        <f>MAX(Royalties!$O$13,MIN(0.4,F119+G119))</f>
        <v>0.16702592892533519</v>
      </c>
      <c r="I119" s="70">
        <f t="shared" si="29"/>
        <v>0</v>
      </c>
      <c r="J119" s="70">
        <f t="shared" si="26"/>
        <v>10488.389660459301</v>
      </c>
      <c r="K119" s="70">
        <f>SUM(J$12:J119)</f>
        <v>9806071.4281455688</v>
      </c>
      <c r="L119" s="70">
        <f t="shared" si="27"/>
        <v>0.16702592892533519</v>
      </c>
      <c r="M119" s="70">
        <f>MAX(0,J119-I119)*H119+MIN(I119,J119)*Royalties!$O$17</f>
        <v>1751.8330259690956</v>
      </c>
      <c r="N119" s="70">
        <f t="shared" si="24"/>
        <v>8736.5566344902054</v>
      </c>
      <c r="O119" s="70">
        <f t="shared" si="28"/>
        <v>0</v>
      </c>
    </row>
    <row r="120" spans="1:15" x14ac:dyDescent="0.4">
      <c r="A120">
        <v>109</v>
      </c>
      <c r="B120" s="65">
        <f t="shared" si="23"/>
        <v>109</v>
      </c>
      <c r="C120" s="65">
        <f>VLOOKUP(B120,'Oil Production'!$A$13:$I$252,7,FALSE)</f>
        <v>142.32207656846731</v>
      </c>
      <c r="D120" s="70">
        <f t="shared" si="25"/>
        <v>65.730091274227448</v>
      </c>
      <c r="E120" s="65">
        <f>D120*Royalties!$T$6</f>
        <v>413.42978539754853</v>
      </c>
      <c r="F120" s="65">
        <f>MIN((E120&lt;=Royalties!$N$10)*Royalties!$P$9+(E120&gt;=Royalties!$N$10)*(E120&lt;=Royalties!$N$11)*((E120-Royalties!$N$10)*Royalties!$O$10+Royalties!$P$10)+(E120&gt;=Royalties!$N$11)*(E120&lt;=Royalties!$N$12)*((E120-Royalties!$N$11)*Royalties!$O$11+Royalties!$P$11)+(E120&gt;Royalties!$N$12)*((E120-Royalties!$N$12)*Royalties!$O$12+Royalties!$P$12),Royalties!$O$14)</f>
        <v>0.21341981630504392</v>
      </c>
      <c r="G120" s="65">
        <f>(C120&lt;Royalties!$O$15)*(C120-Royalties!$O$15)*Royalties!$O$16</f>
        <v>-6.9765196632569138E-2</v>
      </c>
      <c r="H120" s="83">
        <f>MAX(Royalties!$O$13,MIN(0.4,F120+G120))</f>
        <v>0.14365461967247478</v>
      </c>
      <c r="I120" s="70">
        <f t="shared" si="29"/>
        <v>0</v>
      </c>
      <c r="J120" s="70">
        <f t="shared" si="26"/>
        <v>9354.8430831829446</v>
      </c>
      <c r="K120" s="70">
        <f>SUM(J$12:J120)</f>
        <v>9815426.2712287512</v>
      </c>
      <c r="L120" s="70">
        <f t="shared" si="27"/>
        <v>0.14365461967247478</v>
      </c>
      <c r="M120" s="70">
        <f>MAX(0,J120-I120)*H120+MIN(I120,J120)*Royalties!$O$17</f>
        <v>1343.8664252103272</v>
      </c>
      <c r="N120" s="70">
        <f t="shared" si="24"/>
        <v>8010.9766579726174</v>
      </c>
      <c r="O120" s="70">
        <f t="shared" si="28"/>
        <v>0</v>
      </c>
    </row>
    <row r="121" spans="1:15" x14ac:dyDescent="0.4">
      <c r="A121">
        <v>110</v>
      </c>
      <c r="B121" s="65">
        <f t="shared" si="23"/>
        <v>110</v>
      </c>
      <c r="C121" s="65">
        <f>VLOOKUP(B121,'Oil Production'!$A$13:$I$252,7,FALSE)</f>
        <v>155.36220127510023</v>
      </c>
      <c r="D121" s="70">
        <f t="shared" si="25"/>
        <v>65.83864986394947</v>
      </c>
      <c r="E121" s="65">
        <f>D121*Royalties!$T$6</f>
        <v>414.11259830076801</v>
      </c>
      <c r="F121" s="65">
        <f>MIN((E121&lt;=Royalties!$N$10)*Royalties!$P$9+(E121&gt;=Royalties!$N$10)*(E121&lt;=Royalties!$N$11)*((E121-Royalties!$N$10)*Royalties!$O$10+Royalties!$P$10)+(E121&gt;=Royalties!$N$11)*(E121&lt;=Royalties!$N$12)*((E121-Royalties!$N$11)*Royalties!$O$11+Royalties!$P$11)+(E121&gt;Royalties!$N$12)*((E121-Royalties!$N$12)*Royalties!$O$12+Royalties!$P$12),Royalties!$O$14)</f>
        <v>0.21368611333729953</v>
      </c>
      <c r="G121" s="65">
        <f>(C121&lt;Royalties!$O$15)*(C121-Royalties!$O$15)*Royalties!$O$16</f>
        <v>-5.2161028278614685E-2</v>
      </c>
      <c r="H121" s="83">
        <f>MAX(Royalties!$O$13,MIN(0.4,F121+G121))</f>
        <v>0.16152508505868485</v>
      </c>
      <c r="I121" s="70">
        <f t="shared" si="29"/>
        <v>0</v>
      </c>
      <c r="J121" s="70">
        <f t="shared" si="26"/>
        <v>10228.837571843767</v>
      </c>
      <c r="K121" s="70">
        <f>SUM(J$12:J121)</f>
        <v>9825655.1088005956</v>
      </c>
      <c r="L121" s="70">
        <f t="shared" si="27"/>
        <v>0.16152508505868485</v>
      </c>
      <c r="M121" s="70">
        <f>MAX(0,J121-I121)*H121+MIN(I121,J121)*Royalties!$O$17</f>
        <v>1652.2138588435359</v>
      </c>
      <c r="N121" s="70">
        <f t="shared" si="24"/>
        <v>8576.6237130002319</v>
      </c>
      <c r="O121" s="70">
        <f t="shared" si="28"/>
        <v>0</v>
      </c>
    </row>
    <row r="122" spans="1:15" x14ac:dyDescent="0.4">
      <c r="A122">
        <v>111</v>
      </c>
      <c r="B122" s="65">
        <f t="shared" si="23"/>
        <v>111</v>
      </c>
      <c r="C122" s="65">
        <f>VLOOKUP(B122,'Oil Production'!$A$13:$I$252,7,FALSE)</f>
        <v>148.19005932490109</v>
      </c>
      <c r="D122" s="70">
        <f t="shared" si="25"/>
        <v>65.947387747008449</v>
      </c>
      <c r="E122" s="65">
        <f>D122*Royalties!$T$6</f>
        <v>414.79653892501125</v>
      </c>
      <c r="F122" s="65">
        <f>MIN((E122&lt;=Royalties!$N$10)*Royalties!$P$9+(E122&gt;=Royalties!$N$10)*(E122&lt;=Royalties!$N$11)*((E122-Royalties!$N$10)*Royalties!$O$10+Royalties!$P$10)+(E122&gt;=Royalties!$N$11)*(E122&lt;=Royalties!$N$12)*((E122-Royalties!$N$11)*Royalties!$O$11+Royalties!$P$11)+(E122&gt;Royalties!$N$12)*((E122-Royalties!$N$12)*Royalties!$O$12+Royalties!$P$12),Royalties!$O$14)</f>
        <v>0.21395285018075438</v>
      </c>
      <c r="G122" s="65">
        <f>(C122&lt;Royalties!$O$15)*(C122-Royalties!$O$15)*Royalties!$O$16</f>
        <v>-6.1843419911383535E-2</v>
      </c>
      <c r="H122" s="83">
        <f>MAX(Royalties!$O$13,MIN(0.4,F122+G122))</f>
        <v>0.15210943026937085</v>
      </c>
      <c r="I122" s="70">
        <f t="shared" si="29"/>
        <v>0</v>
      </c>
      <c r="J122" s="70">
        <f t="shared" si="26"/>
        <v>9772.7473025514373</v>
      </c>
      <c r="K122" s="70">
        <f>SUM(J$12:J122)</f>
        <v>9835427.8561031464</v>
      </c>
      <c r="L122" s="70">
        <f t="shared" si="27"/>
        <v>0.15210943026937085</v>
      </c>
      <c r="M122" s="70">
        <f>MAX(0,J122-I122)*H122+MIN(I122,J122)*Royalties!$O$17</f>
        <v>1486.5270243576299</v>
      </c>
      <c r="N122" s="70">
        <f t="shared" si="24"/>
        <v>8286.2202781938067</v>
      </c>
      <c r="O122" s="70">
        <f t="shared" si="28"/>
        <v>0</v>
      </c>
    </row>
    <row r="123" spans="1:15" x14ac:dyDescent="0.4">
      <c r="A123">
        <v>112</v>
      </c>
      <c r="B123" s="65">
        <f t="shared" si="23"/>
        <v>112</v>
      </c>
      <c r="C123" s="65">
        <f>VLOOKUP(B123,'Oil Production'!$A$13:$I$252,7,FALSE)</f>
        <v>150.94841488360544</v>
      </c>
      <c r="D123" s="70">
        <f t="shared" si="25"/>
        <v>66.056305219521889</v>
      </c>
      <c r="E123" s="65">
        <f>D123*Royalties!$T$6</f>
        <v>415.481609132801</v>
      </c>
      <c r="F123" s="65">
        <f>MIN((E123&lt;=Royalties!$N$10)*Royalties!$P$9+(E123&gt;=Royalties!$N$10)*(E123&lt;=Royalties!$N$11)*((E123-Royalties!$N$10)*Royalties!$O$10+Royalties!$P$10)+(E123&gt;=Royalties!$N$11)*(E123&lt;=Royalties!$N$12)*((E123-Royalties!$N$11)*Royalties!$O$11+Royalties!$P$11)+(E123&gt;Royalties!$N$12)*((E123-Royalties!$N$12)*Royalties!$O$12+Royalties!$P$12),Royalties!$O$14)</f>
        <v>0.2142200275617924</v>
      </c>
      <c r="G123" s="65">
        <f>(C123&lt;Royalties!$O$15)*(C123-Royalties!$O$15)*Royalties!$O$16</f>
        <v>-5.8119639907132661E-2</v>
      </c>
      <c r="H123" s="83">
        <f>MAX(Royalties!$O$13,MIN(0.4,F123+G123))</f>
        <v>0.15610038765465972</v>
      </c>
      <c r="I123" s="70">
        <f t="shared" si="29"/>
        <v>0</v>
      </c>
      <c r="J123" s="70">
        <f t="shared" si="26"/>
        <v>9971.0945659544614</v>
      </c>
      <c r="K123" s="70">
        <f>SUM(J$12:J123)</f>
        <v>9845398.9506691005</v>
      </c>
      <c r="L123" s="70">
        <f t="shared" si="27"/>
        <v>0.15610038765465972</v>
      </c>
      <c r="M123" s="70">
        <f>MAX(0,J123-I123)*H123+MIN(I123,J123)*Royalties!$O$17</f>
        <v>1556.4917270867625</v>
      </c>
      <c r="N123" s="70">
        <f t="shared" si="24"/>
        <v>8414.6028388676987</v>
      </c>
      <c r="O123" s="70">
        <f t="shared" si="28"/>
        <v>0</v>
      </c>
    </row>
    <row r="124" spans="1:15" x14ac:dyDescent="0.4">
      <c r="A124">
        <v>113</v>
      </c>
      <c r="B124" s="65">
        <f t="shared" si="23"/>
        <v>113</v>
      </c>
      <c r="C124" s="65">
        <f>VLOOKUP(B124,'Oil Production'!$A$13:$I$252,7,FALSE)</f>
        <v>144.0156128659728</v>
      </c>
      <c r="D124" s="70">
        <f t="shared" si="25"/>
        <v>66.165402578096391</v>
      </c>
      <c r="E124" s="65">
        <f>D124*Royalties!$T$6</f>
        <v>416.16781078973645</v>
      </c>
      <c r="F124" s="65">
        <f>MIN((E124&lt;=Royalties!$N$10)*Royalties!$P$9+(E124&gt;=Royalties!$N$10)*(E124&lt;=Royalties!$N$11)*((E124-Royalties!$N$10)*Royalties!$O$10+Royalties!$P$10)+(E124&gt;=Royalties!$N$11)*(E124&lt;=Royalties!$N$12)*((E124-Royalties!$N$11)*Royalties!$O$11+Royalties!$P$11)+(E124&gt;Royalties!$N$12)*((E124-Royalties!$N$12)*Royalties!$O$12+Royalties!$P$12),Royalties!$O$14)</f>
        <v>0.21448764620799723</v>
      </c>
      <c r="G124" s="65">
        <f>(C124&lt;Royalties!$O$15)*(C124-Royalties!$O$15)*Royalties!$O$16</f>
        <v>-6.747892263093673E-2</v>
      </c>
      <c r="H124" s="83">
        <f>MAX(Royalties!$O$13,MIN(0.4,F124+G124))</f>
        <v>0.14700872357706052</v>
      </c>
      <c r="I124" s="70">
        <f t="shared" si="29"/>
        <v>0</v>
      </c>
      <c r="J124" s="70">
        <f t="shared" si="26"/>
        <v>9528.8510028083674</v>
      </c>
      <c r="K124" s="70">
        <f>SUM(J$12:J124)</f>
        <v>9854927.8016719092</v>
      </c>
      <c r="L124" s="70">
        <f t="shared" si="27"/>
        <v>0.14700872357706052</v>
      </c>
      <c r="M124" s="70">
        <f>MAX(0,J124-I124)*H124+MIN(I124,J124)*Royalties!$O$17</f>
        <v>1400.8242230788512</v>
      </c>
      <c r="N124" s="70">
        <f t="shared" si="24"/>
        <v>8128.0267797295164</v>
      </c>
      <c r="O124" s="70">
        <f t="shared" si="28"/>
        <v>0</v>
      </c>
    </row>
    <row r="125" spans="1:15" x14ac:dyDescent="0.4">
      <c r="A125">
        <v>114</v>
      </c>
      <c r="B125" s="65">
        <f t="shared" si="23"/>
        <v>114</v>
      </c>
      <c r="C125" s="65">
        <f>VLOOKUP(B125,'Oil Production'!$A$13:$I$252,7,FALSE)</f>
        <v>146.73189464805182</v>
      </c>
      <c r="D125" s="70">
        <f t="shared" si="25"/>
        <v>66.274680119828403</v>
      </c>
      <c r="E125" s="65">
        <f>D125*Royalties!$T$6</f>
        <v>416.85514576449788</v>
      </c>
      <c r="F125" s="65">
        <f>MIN((E125&lt;=Royalties!$N$10)*Royalties!$P$9+(E125&gt;=Royalties!$N$10)*(E125&lt;=Royalties!$N$11)*((E125-Royalties!$N$10)*Royalties!$O$10+Royalties!$P$10)+(E125&gt;=Royalties!$N$11)*(E125&lt;=Royalties!$N$12)*((E125-Royalties!$N$11)*Royalties!$O$11+Royalties!$P$11)+(E125&gt;Royalties!$N$12)*((E125-Royalties!$N$12)*Royalties!$O$12+Royalties!$P$12),Royalties!$O$14)</f>
        <v>0.21475570684815418</v>
      </c>
      <c r="G125" s="65">
        <f>(C125&lt;Royalties!$O$15)*(C125-Royalties!$O$15)*Royalties!$O$16</f>
        <v>-6.381194222513005E-2</v>
      </c>
      <c r="H125" s="83">
        <f>MAX(Royalties!$O$13,MIN(0.4,F125+G125))</f>
        <v>0.15094376462302411</v>
      </c>
      <c r="I125" s="70">
        <f t="shared" si="29"/>
        <v>0</v>
      </c>
      <c r="J125" s="70">
        <f t="shared" si="26"/>
        <v>9724.6093811759965</v>
      </c>
      <c r="K125" s="70">
        <f>SUM(J$12:J125)</f>
        <v>9864652.4110530857</v>
      </c>
      <c r="L125" s="70">
        <f t="shared" si="27"/>
        <v>0.15094376462302411</v>
      </c>
      <c r="M125" s="70">
        <f>MAX(0,J125-I125)*H125+MIN(I125,J125)*Royalties!$O$17</f>
        <v>1467.8691494830819</v>
      </c>
      <c r="N125" s="70">
        <f t="shared" si="24"/>
        <v>8256.7402316929147</v>
      </c>
      <c r="O125" s="70">
        <f t="shared" si="28"/>
        <v>0</v>
      </c>
    </row>
    <row r="126" spans="1:15" x14ac:dyDescent="0.4">
      <c r="A126">
        <v>115</v>
      </c>
      <c r="B126" s="65">
        <f t="shared" si="23"/>
        <v>115</v>
      </c>
      <c r="C126" s="65">
        <f>VLOOKUP(B126,'Oil Production'!$A$13:$I$252,7,FALSE)</f>
        <v>144.66081461706199</v>
      </c>
      <c r="D126" s="70">
        <f t="shared" si="25"/>
        <v>66.384138142305062</v>
      </c>
      <c r="E126" s="65">
        <f>D126*Royalties!$T$6</f>
        <v>417.54361592885181</v>
      </c>
      <c r="F126" s="65">
        <f>MIN((E126&lt;=Royalties!$N$10)*Royalties!$P$9+(E126&gt;=Royalties!$N$10)*(E126&lt;=Royalties!$N$11)*((E126-Royalties!$N$10)*Royalties!$O$10+Royalties!$P$10)+(E126&gt;=Royalties!$N$11)*(E126&lt;=Royalties!$N$12)*((E126-Royalties!$N$11)*Royalties!$O$11+Royalties!$P$11)+(E126&gt;Royalties!$N$12)*((E126-Royalties!$N$12)*Royalties!$O$12+Royalties!$P$12),Royalties!$O$14)</f>
        <v>0.21502421021225221</v>
      </c>
      <c r="G126" s="65">
        <f>(C126&lt;Royalties!$O$15)*(C126-Royalties!$O$15)*Royalties!$O$16</f>
        <v>-6.6607900266966322E-2</v>
      </c>
      <c r="H126" s="83">
        <f>MAX(Royalties!$O$13,MIN(0.4,F126+G126))</f>
        <v>0.14841630994528587</v>
      </c>
      <c r="I126" s="70">
        <f t="shared" si="29"/>
        <v>0</v>
      </c>
      <c r="J126" s="70">
        <f t="shared" si="26"/>
        <v>9603.1835013174259</v>
      </c>
      <c r="K126" s="70">
        <f>SUM(J$12:J126)</f>
        <v>9874255.5945544038</v>
      </c>
      <c r="L126" s="70">
        <f t="shared" si="27"/>
        <v>0.14841630994528587</v>
      </c>
      <c r="M126" s="70">
        <f>MAX(0,J126-I126)*H126+MIN(I126,J126)*Royalties!$O$17</f>
        <v>1425.2690589929828</v>
      </c>
      <c r="N126" s="70">
        <f t="shared" si="24"/>
        <v>8177.9144423244434</v>
      </c>
      <c r="O126" s="70">
        <f t="shared" si="28"/>
        <v>0</v>
      </c>
    </row>
    <row r="127" spans="1:15" x14ac:dyDescent="0.4">
      <c r="A127">
        <v>116</v>
      </c>
      <c r="B127" s="65">
        <f t="shared" si="23"/>
        <v>116</v>
      </c>
      <c r="C127" s="65">
        <f>VLOOKUP(B127,'Oil Production'!$A$13:$I$252,7,FALSE)</f>
        <v>138.06608830671757</v>
      </c>
      <c r="D127" s="70">
        <f t="shared" si="25"/>
        <v>66.493776943604985</v>
      </c>
      <c r="E127" s="65">
        <f>D127*Royalties!$T$6</f>
        <v>418.23322315765608</v>
      </c>
      <c r="F127" s="65">
        <f>MIN((E127&lt;=Royalties!$N$10)*Royalties!$P$9+(E127&gt;=Royalties!$N$10)*(E127&lt;=Royalties!$N$11)*((E127-Royalties!$N$10)*Royalties!$O$10+Royalties!$P$10)+(E127&gt;=Royalties!$N$11)*(E127&lt;=Royalties!$N$12)*((E127-Royalties!$N$11)*Royalties!$O$11+Royalties!$P$11)+(E127&gt;Royalties!$N$12)*((E127-Royalties!$N$12)*Royalties!$O$12+Royalties!$P$12),Royalties!$O$14)</f>
        <v>0.21529315703148588</v>
      </c>
      <c r="G127" s="65">
        <f>(C127&lt;Royalties!$O$15)*(C127-Royalties!$O$15)*Royalties!$O$16</f>
        <v>-7.5510780785931278E-2</v>
      </c>
      <c r="H127" s="83">
        <f>MAX(Royalties!$O$13,MIN(0.4,F127+G127))</f>
        <v>0.13978237624555462</v>
      </c>
      <c r="I127" s="70">
        <f t="shared" si="29"/>
        <v>0</v>
      </c>
      <c r="J127" s="70">
        <f t="shared" si="26"/>
        <v>9180.5356793429473</v>
      </c>
      <c r="K127" s="70">
        <f>SUM(J$12:J127)</f>
        <v>9883436.130233746</v>
      </c>
      <c r="L127" s="70">
        <f t="shared" si="27"/>
        <v>0.13978237624555462</v>
      </c>
      <c r="M127" s="70">
        <f>MAX(0,J127-I127)*H127+MIN(I127,J127)*Royalties!$O$17</f>
        <v>1283.2770924656543</v>
      </c>
      <c r="N127" s="70">
        <f t="shared" si="24"/>
        <v>7897.2585868772931</v>
      </c>
      <c r="O127" s="70">
        <f t="shared" si="28"/>
        <v>0</v>
      </c>
    </row>
    <row r="128" spans="1:15" x14ac:dyDescent="0.4">
      <c r="A128">
        <v>117</v>
      </c>
      <c r="B128" s="65">
        <f t="shared" si="23"/>
        <v>117</v>
      </c>
      <c r="C128" s="65">
        <f>VLOOKUP(B128,'Oil Production'!$A$13:$I$252,7,FALSE)</f>
        <v>140.71955206600251</v>
      </c>
      <c r="D128" s="70">
        <f t="shared" si="25"/>
        <v>66.603596822299096</v>
      </c>
      <c r="E128" s="65">
        <f>D128*Royalties!$T$6</f>
        <v>418.9239693288651</v>
      </c>
      <c r="F128" s="65">
        <f>MIN((E128&lt;=Royalties!$N$10)*Royalties!$P$9+(E128&gt;=Royalties!$N$10)*(E128&lt;=Royalties!$N$11)*((E128-Royalties!$N$10)*Royalties!$O$10+Royalties!$P$10)+(E128&gt;=Royalties!$N$11)*(E128&lt;=Royalties!$N$12)*((E128-Royalties!$N$11)*Royalties!$O$11+Royalties!$P$11)+(E128&gt;Royalties!$N$12)*((E128-Royalties!$N$12)*Royalties!$O$12+Royalties!$P$12),Royalties!$O$14)</f>
        <v>0.21556254803825739</v>
      </c>
      <c r="G128" s="65">
        <f>(C128&lt;Royalties!$O$15)*(C128-Royalties!$O$15)*Royalties!$O$16</f>
        <v>-7.1928604710896626E-2</v>
      </c>
      <c r="H128" s="83">
        <f>MAX(Royalties!$O$13,MIN(0.4,F128+G128))</f>
        <v>0.14363394332736076</v>
      </c>
      <c r="I128" s="70">
        <f t="shared" si="29"/>
        <v>0</v>
      </c>
      <c r="J128" s="70">
        <f t="shared" si="26"/>
        <v>9372.4283108185573</v>
      </c>
      <c r="K128" s="70">
        <f>SUM(J$12:J128)</f>
        <v>9892808.558544565</v>
      </c>
      <c r="L128" s="70">
        <f t="shared" si="27"/>
        <v>0.14363394332736076</v>
      </c>
      <c r="M128" s="70">
        <f>MAX(0,J128-I128)*H128+MIN(I128,J128)*Royalties!$O$17</f>
        <v>1346.1988368358643</v>
      </c>
      <c r="N128" s="70">
        <f t="shared" si="24"/>
        <v>8026.229473982693</v>
      </c>
      <c r="O128" s="70">
        <f t="shared" si="28"/>
        <v>0</v>
      </c>
    </row>
    <row r="129" spans="1:15" x14ac:dyDescent="0.4">
      <c r="A129">
        <v>118</v>
      </c>
      <c r="B129" s="65">
        <f t="shared" si="23"/>
        <v>118</v>
      </c>
      <c r="C129" s="65">
        <f>VLOOKUP(B129,'Oil Production'!$A$13:$I$252,7,FALSE)</f>
        <v>134.33499690974713</v>
      </c>
      <c r="D129" s="70">
        <f t="shared" si="25"/>
        <v>66.713598077451437</v>
      </c>
      <c r="E129" s="65">
        <f>D129*Royalties!$T$6</f>
        <v>419.61585632353484</v>
      </c>
      <c r="F129" s="65">
        <f>MIN((E129&lt;=Royalties!$N$10)*Royalties!$P$9+(E129&gt;=Royalties!$N$10)*(E129&lt;=Royalties!$N$11)*((E129-Royalties!$N$10)*Royalties!$O$10+Royalties!$P$10)+(E129&gt;=Royalties!$N$11)*(E129&lt;=Royalties!$N$12)*((E129-Royalties!$N$11)*Royalties!$O$11+Royalties!$P$11)+(E129&gt;Royalties!$N$12)*((E129-Royalties!$N$12)*Royalties!$O$12+Royalties!$P$12),Royalties!$O$14)</f>
        <v>0.2158323839661786</v>
      </c>
      <c r="G129" s="65">
        <f>(C129&lt;Royalties!$O$15)*(C129-Royalties!$O$15)*Royalties!$O$16</f>
        <v>-8.0547754171841374E-2</v>
      </c>
      <c r="H129" s="83">
        <f>MAX(Royalties!$O$13,MIN(0.4,F129+G129))</f>
        <v>0.13528462979433722</v>
      </c>
      <c r="I129" s="70">
        <f t="shared" si="29"/>
        <v>0</v>
      </c>
      <c r="J129" s="70">
        <f t="shared" si="26"/>
        <v>8961.9709915725507</v>
      </c>
      <c r="K129" s="70">
        <f>SUM(J$12:J129)</f>
        <v>9901770.5295361374</v>
      </c>
      <c r="L129" s="70">
        <f t="shared" si="27"/>
        <v>0.13528462979433722</v>
      </c>
      <c r="M129" s="70">
        <f>MAX(0,J129-I129)*H129+MIN(I129,J129)*Royalties!$O$17</f>
        <v>1212.4169278224817</v>
      </c>
      <c r="N129" s="70">
        <f t="shared" si="24"/>
        <v>7749.554063750069</v>
      </c>
      <c r="O129" s="70">
        <f t="shared" si="28"/>
        <v>0</v>
      </c>
    </row>
    <row r="130" spans="1:15" x14ac:dyDescent="0.4">
      <c r="A130">
        <v>119</v>
      </c>
      <c r="B130" s="65">
        <f t="shared" si="23"/>
        <v>119</v>
      </c>
      <c r="C130" s="65">
        <f>VLOOKUP(B130,'Oil Production'!$A$13:$I$252,7,FALSE)</f>
        <v>136.94733127890504</v>
      </c>
      <c r="D130" s="70">
        <f t="shared" si="25"/>
        <v>66.823781008619974</v>
      </c>
      <c r="E130" s="65">
        <f>D130*Royalties!$T$6</f>
        <v>420.30888602582803</v>
      </c>
      <c r="F130" s="65">
        <f>MIN((E130&lt;=Royalties!$N$10)*Royalties!$P$9+(E130&gt;=Royalties!$N$10)*(E130&lt;=Royalties!$N$11)*((E130-Royalties!$N$10)*Royalties!$O$10+Royalties!$P$10)+(E130&gt;=Royalties!$N$11)*(E130&lt;=Royalties!$N$12)*((E130-Royalties!$N$11)*Royalties!$O$11+Royalties!$P$11)+(E130&gt;Royalties!$N$12)*((E130-Royalties!$N$12)*Royalties!$O$12+Royalties!$P$12),Royalties!$O$14)</f>
        <v>0.21610266555007293</v>
      </c>
      <c r="G130" s="65">
        <f>(C130&lt;Royalties!$O$15)*(C130-Royalties!$O$15)*Royalties!$O$16</f>
        <v>-7.7021102773478206E-2</v>
      </c>
      <c r="H130" s="83">
        <f>MAX(Royalties!$O$13,MIN(0.4,F130+G130))</f>
        <v>0.13908156277659472</v>
      </c>
      <c r="I130" s="70">
        <f t="shared" si="29"/>
        <v>0</v>
      </c>
      <c r="J130" s="70">
        <f t="shared" si="26"/>
        <v>9151.3384750964833</v>
      </c>
      <c r="K130" s="70">
        <f>SUM(J$12:J130)</f>
        <v>9910921.8680112343</v>
      </c>
      <c r="L130" s="70">
        <f t="shared" si="27"/>
        <v>0.13908156277659472</v>
      </c>
      <c r="M130" s="70">
        <f>MAX(0,J130-I130)*H130+MIN(I130,J130)*Royalties!$O$17</f>
        <v>1272.7824566139982</v>
      </c>
      <c r="N130" s="70">
        <f t="shared" si="24"/>
        <v>7878.5560184824853</v>
      </c>
      <c r="O130" s="70">
        <f t="shared" si="28"/>
        <v>0</v>
      </c>
    </row>
    <row r="131" spans="1:15" x14ac:dyDescent="0.4">
      <c r="A131">
        <v>120</v>
      </c>
      <c r="B131" s="65">
        <f t="shared" si="23"/>
        <v>120</v>
      </c>
      <c r="C131" s="65">
        <f>VLOOKUP(B131,'Oil Production'!$A$13:$I$252,7,FALSE)</f>
        <v>135.09191054006806</v>
      </c>
      <c r="D131" s="70">
        <f t="shared" si="25"/>
        <v>66.934145915857428</v>
      </c>
      <c r="E131" s="65">
        <f>D131*Royalties!$T$6</f>
        <v>421.00306032301921</v>
      </c>
      <c r="F131" s="65">
        <f>MIN((E131&lt;=Royalties!$N$10)*Royalties!$P$9+(E131&gt;=Royalties!$N$10)*(E131&lt;=Royalties!$N$11)*((E131-Royalties!$N$10)*Royalties!$O$10+Royalties!$P$10)+(E131&gt;=Royalties!$N$11)*(E131&lt;=Royalties!$N$12)*((E131-Royalties!$N$11)*Royalties!$O$11+Royalties!$P$11)+(E131&gt;Royalties!$N$12)*((E131-Royalties!$N$12)*Royalties!$O$12+Royalties!$P$12),Royalties!$O$14)</f>
        <v>0.21637339352597751</v>
      </c>
      <c r="G131" s="65">
        <f>(C131&lt;Royalties!$O$15)*(C131-Royalties!$O$15)*Royalties!$O$16</f>
        <v>-7.9525920770908129E-2</v>
      </c>
      <c r="H131" s="83">
        <f>MAX(Royalties!$O$13,MIN(0.4,F131+G131))</f>
        <v>0.13684747275506937</v>
      </c>
      <c r="I131" s="70">
        <f t="shared" si="29"/>
        <v>0</v>
      </c>
      <c r="J131" s="70">
        <f t="shared" si="26"/>
        <v>9042.2616521408727</v>
      </c>
      <c r="K131" s="70">
        <f>SUM(J$12:J131)</f>
        <v>9919964.1296633743</v>
      </c>
      <c r="L131" s="70">
        <f t="shared" si="27"/>
        <v>0.13684747275506937</v>
      </c>
      <c r="M131" s="70">
        <f>MAX(0,J131-I131)*H131+MIN(I131,J131)*Royalties!$O$17</f>
        <v>1237.4106550855565</v>
      </c>
      <c r="N131" s="70">
        <f t="shared" si="24"/>
        <v>7804.8509970553159</v>
      </c>
      <c r="O131" s="70">
        <f t="shared" si="28"/>
        <v>0</v>
      </c>
    </row>
    <row r="132" spans="1:15" x14ac:dyDescent="0.4">
      <c r="A132">
        <v>121</v>
      </c>
      <c r="B132" s="65">
        <f t="shared" si="23"/>
        <v>121</v>
      </c>
      <c r="C132" s="65">
        <f>VLOOKUP(B132,'Oil Production'!$A$13:$I$252,7,FALSE)</f>
        <v>124.73193685416481</v>
      </c>
      <c r="D132" s="70">
        <f t="shared" si="25"/>
        <v>67.044693099712063</v>
      </c>
      <c r="E132" s="65">
        <f>D132*Royalties!$T$6</f>
        <v>421.69838110549995</v>
      </c>
      <c r="F132" s="65">
        <f>MIN((E132&lt;=Royalties!$N$10)*Royalties!$P$9+(E132&gt;=Royalties!$N$10)*(E132&lt;=Royalties!$N$11)*((E132-Royalties!$N$10)*Royalties!$O$10+Royalties!$P$10)+(E132&gt;=Royalties!$N$11)*(E132&lt;=Royalties!$N$12)*((E132-Royalties!$N$11)*Royalties!$O$11+Royalties!$P$11)+(E132&gt;Royalties!$N$12)*((E132-Royalties!$N$12)*Royalties!$O$12+Royalties!$P$12),Royalties!$O$14)</f>
        <v>0.21664456863114498</v>
      </c>
      <c r="G132" s="65">
        <f>(C132&lt;Royalties!$O$15)*(C132-Royalties!$O$15)*Royalties!$O$16</f>
        <v>-9.3511885246877507E-2</v>
      </c>
      <c r="H132" s="83">
        <f>MAX(Royalties!$O$13,MIN(0.4,F132+G132))</f>
        <v>0.12313268338426747</v>
      </c>
      <c r="I132" s="70">
        <f t="shared" si="29"/>
        <v>0</v>
      </c>
      <c r="J132" s="70">
        <f t="shared" si="26"/>
        <v>8362.6144261201443</v>
      </c>
      <c r="K132" s="70">
        <f>SUM(J$12:J132)</f>
        <v>9928326.7440894935</v>
      </c>
      <c r="L132" s="70">
        <f t="shared" si="27"/>
        <v>0.12313268338426747</v>
      </c>
      <c r="M132" s="70">
        <f>MAX(0,J132-I132)*H132+MIN(I132,J132)*Royalties!$O$17</f>
        <v>1029.7111543961594</v>
      </c>
      <c r="N132" s="70">
        <f t="shared" si="24"/>
        <v>7332.9032717239852</v>
      </c>
      <c r="O132" s="70">
        <f t="shared" si="28"/>
        <v>0</v>
      </c>
    </row>
    <row r="133" spans="1:15" x14ac:dyDescent="0.4">
      <c r="A133">
        <v>122</v>
      </c>
      <c r="B133" s="65">
        <f t="shared" si="23"/>
        <v>122</v>
      </c>
      <c r="C133" s="65">
        <f>VLOOKUP(B133,'Oil Production'!$A$13:$I$252,7,FALSE)</f>
        <v>131.61307432260946</v>
      </c>
      <c r="D133" s="70">
        <f t="shared" si="25"/>
        <v>67.15542286122853</v>
      </c>
      <c r="E133" s="65">
        <f>D133*Royalties!$T$6</f>
        <v>422.39485026678381</v>
      </c>
      <c r="F133" s="65">
        <f>MIN((E133&lt;=Royalties!$N$10)*Royalties!$P$9+(E133&gt;=Royalties!$N$10)*(E133&lt;=Royalties!$N$11)*((E133-Royalties!$N$10)*Royalties!$O$10+Royalties!$P$10)+(E133&gt;=Royalties!$N$11)*(E133&lt;=Royalties!$N$12)*((E133-Royalties!$N$11)*Royalties!$O$11+Royalties!$P$11)+(E133&gt;Royalties!$N$12)*((E133-Royalties!$N$12)*Royalties!$O$12+Royalties!$P$12),Royalties!$O$14)</f>
        <v>0.21691619160404568</v>
      </c>
      <c r="G133" s="65">
        <f>(C133&lt;Royalties!$O$15)*(C133-Royalties!$O$15)*Royalties!$O$16</f>
        <v>-8.4222349664477225E-2</v>
      </c>
      <c r="H133" s="83">
        <f>MAX(Royalties!$O$13,MIN(0.4,F133+G133))</f>
        <v>0.13269384193956846</v>
      </c>
      <c r="I133" s="70">
        <f t="shared" si="29"/>
        <v>0</v>
      </c>
      <c r="J133" s="70">
        <f t="shared" si="26"/>
        <v>8838.5316602011371</v>
      </c>
      <c r="K133" s="70">
        <f>SUM(J$12:J133)</f>
        <v>9937165.2757496946</v>
      </c>
      <c r="L133" s="70">
        <f t="shared" si="27"/>
        <v>0.13269384193956846</v>
      </c>
      <c r="M133" s="70">
        <f>MAX(0,J133-I133)*H133+MIN(I133,J133)*Royalties!$O$17</f>
        <v>1172.8187230966014</v>
      </c>
      <c r="N133" s="70">
        <f t="shared" si="24"/>
        <v>7665.7129371045357</v>
      </c>
      <c r="O133" s="70">
        <f t="shared" si="28"/>
        <v>0</v>
      </c>
    </row>
    <row r="134" spans="1:15" x14ac:dyDescent="0.4">
      <c r="A134">
        <v>123</v>
      </c>
      <c r="B134" s="65">
        <f t="shared" si="23"/>
        <v>123</v>
      </c>
      <c r="C134" s="65">
        <f>VLOOKUP(B134,'Oil Production'!$A$13:$I$252,7,FALSE)</f>
        <v>125.70888763555558</v>
      </c>
      <c r="D134" s="70">
        <f t="shared" si="25"/>
        <v>67.266335501948674</v>
      </c>
      <c r="E134" s="65">
        <f>D134*Royalties!$T$6</f>
        <v>423.09246970351182</v>
      </c>
      <c r="F134" s="65">
        <f>MIN((E134&lt;=Royalties!$N$10)*Royalties!$P$9+(E134&gt;=Royalties!$N$10)*(E134&lt;=Royalties!$N$11)*((E134-Royalties!$N$10)*Royalties!$O$10+Royalties!$P$10)+(E134&gt;=Royalties!$N$11)*(E134&lt;=Royalties!$N$12)*((E134-Royalties!$N$11)*Royalties!$O$11+Royalties!$P$11)+(E134&gt;Royalties!$N$12)*((E134-Royalties!$N$12)*Royalties!$O$12+Royalties!$P$12),Royalties!$O$14)</f>
        <v>0.21718826318436962</v>
      </c>
      <c r="G134" s="65">
        <f>(C134&lt;Royalties!$O$15)*(C134-Royalties!$O$15)*Royalties!$O$16</f>
        <v>-9.2193001691999968E-2</v>
      </c>
      <c r="H134" s="83">
        <f>MAX(Royalties!$O$13,MIN(0.4,F134+G134))</f>
        <v>0.12499526149236966</v>
      </c>
      <c r="I134" s="70">
        <f t="shared" si="29"/>
        <v>0</v>
      </c>
      <c r="J134" s="70">
        <f t="shared" si="26"/>
        <v>8455.97621127005</v>
      </c>
      <c r="K134" s="70">
        <f>SUM(J$12:J134)</f>
        <v>9945621.2519609649</v>
      </c>
      <c r="L134" s="70">
        <f t="shared" si="27"/>
        <v>0.12499526149236967</v>
      </c>
      <c r="M134" s="70">
        <f>MAX(0,J134-I134)*H134+MIN(I134,J134)*Royalties!$O$17</f>
        <v>1056.9569577009572</v>
      </c>
      <c r="N134" s="70">
        <f t="shared" si="24"/>
        <v>7399.0192535690931</v>
      </c>
      <c r="O134" s="70">
        <f t="shared" si="28"/>
        <v>0</v>
      </c>
    </row>
    <row r="135" spans="1:15" x14ac:dyDescent="0.4">
      <c r="A135">
        <v>124</v>
      </c>
      <c r="B135" s="65">
        <f t="shared" si="23"/>
        <v>124</v>
      </c>
      <c r="C135" s="65">
        <f>VLOOKUP(B135,'Oil Production'!$A$13:$I$252,7,FALSE)</f>
        <v>128.22091603852459</v>
      </c>
      <c r="D135" s="70">
        <f t="shared" si="25"/>
        <v>67.37743132391239</v>
      </c>
      <c r="E135" s="65">
        <f>D135*Royalties!$T$6</f>
        <v>423.7912413154574</v>
      </c>
      <c r="F135" s="65">
        <f>MIN((E135&lt;=Royalties!$N$10)*Royalties!$P$9+(E135&gt;=Royalties!$N$10)*(E135&lt;=Royalties!$N$11)*((E135-Royalties!$N$10)*Royalties!$O$10+Royalties!$P$10)+(E135&gt;=Royalties!$N$11)*(E135&lt;=Royalties!$N$12)*((E135-Royalties!$N$11)*Royalties!$O$11+Royalties!$P$11)+(E135&gt;Royalties!$N$12)*((E135-Royalties!$N$12)*Royalties!$O$12+Royalties!$P$12),Royalties!$O$14)</f>
        <v>0.21746078411302838</v>
      </c>
      <c r="G135" s="65">
        <f>(C135&lt;Royalties!$O$15)*(C135-Royalties!$O$15)*Royalties!$O$16</f>
        <v>-8.8801763347991808E-2</v>
      </c>
      <c r="H135" s="83">
        <f>MAX(Royalties!$O$13,MIN(0.4,F135+G135))</f>
        <v>0.12865902076503657</v>
      </c>
      <c r="I135" s="70">
        <f t="shared" si="29"/>
        <v>0</v>
      </c>
      <c r="J135" s="70">
        <f t="shared" si="26"/>
        <v>8639.1959646748273</v>
      </c>
      <c r="K135" s="70">
        <f>SUM(J$12:J135)</f>
        <v>9954260.4479256403</v>
      </c>
      <c r="L135" s="70">
        <f t="shared" si="27"/>
        <v>0.12865902076503657</v>
      </c>
      <c r="M135" s="70">
        <f>MAX(0,J135-I135)*H135+MIN(I135,J135)*Royalties!$O$17</f>
        <v>1111.5104930123189</v>
      </c>
      <c r="N135" s="70">
        <f t="shared" si="24"/>
        <v>7527.6854716625085</v>
      </c>
      <c r="O135" s="70">
        <f t="shared" si="28"/>
        <v>0</v>
      </c>
    </row>
    <row r="136" spans="1:15" x14ac:dyDescent="0.4">
      <c r="A136">
        <v>125</v>
      </c>
      <c r="B136" s="65">
        <f t="shared" si="23"/>
        <v>125</v>
      </c>
      <c r="C136" s="65">
        <f>VLOOKUP(B136,'Oil Production'!$A$13:$I$252,7,FALSE)</f>
        <v>122.49376416721498</v>
      </c>
      <c r="D136" s="70">
        <f t="shared" si="25"/>
        <v>67.488710629658371</v>
      </c>
      <c r="E136" s="65">
        <f>D136*Royalties!$T$6</f>
        <v>424.49116700553151</v>
      </c>
      <c r="F136" s="65">
        <f>MIN((E136&lt;=Royalties!$N$10)*Royalties!$P$9+(E136&gt;=Royalties!$N$10)*(E136&lt;=Royalties!$N$11)*((E136-Royalties!$N$10)*Royalties!$O$10+Royalties!$P$10)+(E136&gt;=Royalties!$N$11)*(E136&lt;=Royalties!$N$12)*((E136-Royalties!$N$11)*Royalties!$O$11+Royalties!$P$11)+(E136&gt;Royalties!$N$12)*((E136-Royalties!$N$12)*Royalties!$O$12+Royalties!$P$12),Royalties!$O$14)</f>
        <v>0.21773375513215729</v>
      </c>
      <c r="G136" s="65">
        <f>(C136&lt;Royalties!$O$15)*(C136-Royalties!$O$15)*Royalties!$O$16</f>
        <v>-9.6533418374259786E-2</v>
      </c>
      <c r="H136" s="83">
        <f>MAX(Royalties!$O$13,MIN(0.4,F136+G136))</f>
        <v>0.1212003367578975</v>
      </c>
      <c r="I136" s="70">
        <f t="shared" si="29"/>
        <v>0</v>
      </c>
      <c r="J136" s="70">
        <f t="shared" si="26"/>
        <v>8266.9462038187867</v>
      </c>
      <c r="K136" s="70">
        <f>SUM(J$12:J136)</f>
        <v>9962527.3941294588</v>
      </c>
      <c r="L136" s="70">
        <f t="shared" si="27"/>
        <v>0.1212003367578975</v>
      </c>
      <c r="M136" s="70">
        <f>MAX(0,J136-I136)*H136+MIN(I136,J136)*Royalties!$O$17</f>
        <v>1001.9566638622593</v>
      </c>
      <c r="N136" s="70">
        <f t="shared" si="24"/>
        <v>7264.9895399565276</v>
      </c>
      <c r="O136" s="70">
        <f t="shared" si="28"/>
        <v>0</v>
      </c>
    </row>
    <row r="137" spans="1:15" x14ac:dyDescent="0.4">
      <c r="A137">
        <v>126</v>
      </c>
      <c r="B137" s="65">
        <f t="shared" si="23"/>
        <v>126</v>
      </c>
      <c r="C137" s="65">
        <f>VLOOKUP(B137,'Oil Production'!$A$13:$I$252,7,FALSE)</f>
        <v>124.96651203723741</v>
      </c>
      <c r="D137" s="70">
        <f t="shared" si="25"/>
        <v>67.600173722225023</v>
      </c>
      <c r="E137" s="65">
        <f>D137*Royalties!$T$6</f>
        <v>425.19224867978818</v>
      </c>
      <c r="F137" s="65">
        <f>MIN((E137&lt;=Royalties!$N$10)*Royalties!$P$9+(E137&gt;=Royalties!$N$10)*(E137&lt;=Royalties!$N$11)*((E137-Royalties!$N$10)*Royalties!$O$10+Royalties!$P$10)+(E137&gt;=Royalties!$N$11)*(E137&lt;=Royalties!$N$12)*((E137-Royalties!$N$11)*Royalties!$O$11+Royalties!$P$11)+(E137&gt;Royalties!$N$12)*((E137-Royalties!$N$12)*Royalties!$O$12+Royalties!$P$12),Royalties!$O$14)</f>
        <v>0.2180071769851174</v>
      </c>
      <c r="G137" s="65">
        <f>(C137&lt;Royalties!$O$15)*(C137-Royalties!$O$15)*Royalties!$O$16</f>
        <v>-9.3195208749729502E-2</v>
      </c>
      <c r="H137" s="83">
        <f>MAX(Royalties!$O$13,MIN(0.4,F137+G137))</f>
        <v>0.1248119682353879</v>
      </c>
      <c r="I137" s="70">
        <f t="shared" si="29"/>
        <v>0</v>
      </c>
      <c r="J137" s="70">
        <f t="shared" si="26"/>
        <v>8447.7579231777727</v>
      </c>
      <c r="K137" s="70">
        <f>SUM(J$12:J137)</f>
        <v>9970975.1520526372</v>
      </c>
      <c r="L137" s="70">
        <f t="shared" si="27"/>
        <v>0.12481196823538791</v>
      </c>
      <c r="M137" s="70">
        <f>MAX(0,J137-I137)*H137+MIN(I137,J137)*Royalties!$O$17</f>
        <v>1054.3812935679107</v>
      </c>
      <c r="N137" s="70">
        <f t="shared" si="24"/>
        <v>7393.376629609862</v>
      </c>
      <c r="O137" s="70">
        <f t="shared" si="28"/>
        <v>0</v>
      </c>
    </row>
    <row r="138" spans="1:15" x14ac:dyDescent="0.4">
      <c r="A138">
        <v>127</v>
      </c>
      <c r="B138" s="65">
        <f t="shared" si="23"/>
        <v>127</v>
      </c>
      <c r="C138" s="65">
        <f>VLOOKUP(B138,'Oil Production'!$A$13:$I$252,7,FALSE)</f>
        <v>123.36297753956751</v>
      </c>
      <c r="D138" s="70">
        <f t="shared" si="25"/>
        <v>67.711820905151214</v>
      </c>
      <c r="E138" s="65">
        <f>D138*Royalties!$T$6</f>
        <v>425.89448824742914</v>
      </c>
      <c r="F138" s="65">
        <f>MIN((E138&lt;=Royalties!$N$10)*Royalties!$P$9+(E138&gt;=Royalties!$N$10)*(E138&lt;=Royalties!$N$11)*((E138-Royalties!$N$10)*Royalties!$O$10+Royalties!$P$10)+(E138&gt;=Royalties!$N$11)*(E138&lt;=Royalties!$N$12)*((E138-Royalties!$N$11)*Royalties!$O$11+Royalties!$P$11)+(E138&gt;Royalties!$N$12)*((E138-Royalties!$N$12)*Royalties!$O$12+Royalties!$P$12),Royalties!$O$14)</f>
        <v>0.21828105041649737</v>
      </c>
      <c r="G138" s="65">
        <f>(C138&lt;Royalties!$O$15)*(C138-Royalties!$O$15)*Royalties!$O$16</f>
        <v>-9.5359980321583868E-2</v>
      </c>
      <c r="H138" s="83">
        <f>MAX(Royalties!$O$13,MIN(0.4,F138+G138))</f>
        <v>0.1229210700949135</v>
      </c>
      <c r="I138" s="70">
        <f t="shared" si="29"/>
        <v>0</v>
      </c>
      <c r="J138" s="70">
        <f t="shared" si="26"/>
        <v>8353.1318414853868</v>
      </c>
      <c r="K138" s="70">
        <f>SUM(J$12:J138)</f>
        <v>9979328.2838941216</v>
      </c>
      <c r="L138" s="70">
        <f t="shared" si="27"/>
        <v>0.1229210700949135</v>
      </c>
      <c r="M138" s="70">
        <f>MAX(0,J138-I138)*H138+MIN(I138,J138)*Royalties!$O$17</f>
        <v>1026.7759045992791</v>
      </c>
      <c r="N138" s="70">
        <f t="shared" si="24"/>
        <v>7326.3559368861079</v>
      </c>
      <c r="O138" s="70">
        <f t="shared" si="28"/>
        <v>0</v>
      </c>
    </row>
    <row r="139" spans="1:15" x14ac:dyDescent="0.4">
      <c r="A139">
        <v>128</v>
      </c>
      <c r="B139" s="65">
        <f t="shared" si="23"/>
        <v>128</v>
      </c>
      <c r="C139" s="65">
        <f>VLOOKUP(B139,'Oil Production'!$A$13:$I$252,7,FALSE)</f>
        <v>117.88752715443843</v>
      </c>
      <c r="D139" s="70">
        <f t="shared" si="25"/>
        <v>67.823652482477129</v>
      </c>
      <c r="E139" s="65">
        <f>D139*Royalties!$T$6</f>
        <v>426.5978876208095</v>
      </c>
      <c r="F139" s="65">
        <f>MIN((E139&lt;=Royalties!$N$10)*Royalties!$P$9+(E139&gt;=Royalties!$N$10)*(E139&lt;=Royalties!$N$11)*((E139-Royalties!$N$10)*Royalties!$O$10+Royalties!$P$10)+(E139&gt;=Royalties!$N$11)*(E139&lt;=Royalties!$N$12)*((E139-Royalties!$N$11)*Royalties!$O$11+Royalties!$P$11)+(E139&gt;Royalties!$N$12)*((E139-Royalties!$N$12)*Royalties!$O$12+Royalties!$P$12),Royalties!$O$14)</f>
        <v>0.21855537617211571</v>
      </c>
      <c r="G139" s="65">
        <f>(C139&lt;Royalties!$O$15)*(C139-Royalties!$O$15)*Royalties!$O$16</f>
        <v>-0.10275183834150813</v>
      </c>
      <c r="H139" s="83">
        <f>MAX(Royalties!$O$13,MIN(0.4,F139+G139))</f>
        <v>0.11580353783060758</v>
      </c>
      <c r="I139" s="70">
        <f t="shared" si="29"/>
        <v>0</v>
      </c>
      <c r="J139" s="70">
        <f t="shared" si="26"/>
        <v>7995.5626737412176</v>
      </c>
      <c r="K139" s="70">
        <f>SUM(J$12:J139)</f>
        <v>9987323.8465678636</v>
      </c>
      <c r="L139" s="70">
        <f t="shared" si="27"/>
        <v>0.11580353783060758</v>
      </c>
      <c r="M139" s="70">
        <f>MAX(0,J139-I139)*H139+MIN(I139,J139)*Royalties!$O$17</f>
        <v>925.91444456558497</v>
      </c>
      <c r="N139" s="70">
        <f t="shared" si="24"/>
        <v>7069.6482291756329</v>
      </c>
      <c r="O139" s="70">
        <f t="shared" si="28"/>
        <v>0</v>
      </c>
    </row>
    <row r="140" spans="1:15" x14ac:dyDescent="0.4">
      <c r="A140">
        <v>129</v>
      </c>
      <c r="B140" s="65">
        <f t="shared" ref="B140:B203" si="30">A140</f>
        <v>129</v>
      </c>
      <c r="C140" s="65">
        <f>VLOOKUP(B140,'Oil Production'!$A$13:$I$252,7,FALSE)</f>
        <v>120.30217283251113</v>
      </c>
      <c r="D140" s="70">
        <f t="shared" si="25"/>
        <v>67.935668758745123</v>
      </c>
      <c r="E140" s="65">
        <f>D140*Royalties!$T$6</f>
        <v>427.30244871544267</v>
      </c>
      <c r="F140" s="65">
        <f>MIN((E140&lt;=Royalties!$N$10)*Royalties!$P$9+(E140&gt;=Royalties!$N$10)*(E140&lt;=Royalties!$N$11)*((E140-Royalties!$N$10)*Royalties!$O$10+Royalties!$P$10)+(E140&gt;=Royalties!$N$11)*(E140&lt;=Royalties!$N$12)*((E140-Royalties!$N$11)*Royalties!$O$11+Royalties!$P$11)+(E140&gt;Royalties!$N$12)*((E140-Royalties!$N$12)*Royalties!$O$12+Royalties!$P$12),Royalties!$O$14)</f>
        <v>0.21883015499902264</v>
      </c>
      <c r="G140" s="65">
        <f>(C140&lt;Royalties!$O$15)*(C140-Royalties!$O$15)*Royalties!$O$16</f>
        <v>-9.9492066676109978E-2</v>
      </c>
      <c r="H140" s="83">
        <f>MAX(Royalties!$O$13,MIN(0.4,F140+G140))</f>
        <v>0.11933808832291266</v>
      </c>
      <c r="I140" s="70">
        <f t="shared" si="29"/>
        <v>0</v>
      </c>
      <c r="J140" s="70">
        <f t="shared" si="26"/>
        <v>8172.8085645067831</v>
      </c>
      <c r="K140" s="70">
        <f>SUM(J$12:J140)</f>
        <v>9995496.6551323701</v>
      </c>
      <c r="L140" s="70">
        <f t="shared" si="27"/>
        <v>0.11933808832291266</v>
      </c>
      <c r="M140" s="70">
        <f>MAX(0,J140-I140)*H140+MIN(I140,J140)*Royalties!$O$17</f>
        <v>975.32735031736752</v>
      </c>
      <c r="N140" s="70">
        <f t="shared" ref="N140:N203" si="31">J140-M140</f>
        <v>7197.4812141894154</v>
      </c>
      <c r="O140" s="70">
        <f t="shared" si="28"/>
        <v>0</v>
      </c>
    </row>
    <row r="141" spans="1:15" x14ac:dyDescent="0.4">
      <c r="A141">
        <v>130</v>
      </c>
      <c r="B141" s="65">
        <f t="shared" si="30"/>
        <v>130</v>
      </c>
      <c r="C141" s="65">
        <f>VLOOKUP(B141,'Oil Production'!$A$13:$I$252,7,FALSE)</f>
        <v>114.98418854048941</v>
      </c>
      <c r="D141" s="70">
        <f t="shared" ref="D141:D204" si="32">D140*(1+$B$7)^(1/12)</f>
        <v>68.047870039000514</v>
      </c>
      <c r="E141" s="65">
        <f>D141*Royalties!$T$6</f>
        <v>428.00817345000581</v>
      </c>
      <c r="F141" s="65">
        <f>MIN((E141&lt;=Royalties!$N$10)*Royalties!$P$9+(E141&gt;=Royalties!$N$10)*(E141&lt;=Royalties!$N$11)*((E141-Royalties!$N$10)*Royalties!$O$10+Royalties!$P$10)+(E141&gt;=Royalties!$N$11)*(E141&lt;=Royalties!$N$12)*((E141-Royalties!$N$11)*Royalties!$O$11+Royalties!$P$11)+(E141&gt;Royalties!$N$12)*((E141-Royalties!$N$12)*Royalties!$O$12+Royalties!$P$12),Royalties!$O$14)</f>
        <v>0.21910538764550228</v>
      </c>
      <c r="G141" s="65">
        <f>(C141&lt;Royalties!$O$15)*(C141-Royalties!$O$15)*Royalties!$O$16</f>
        <v>-0.1066713454703393</v>
      </c>
      <c r="H141" s="83">
        <f>MAX(Royalties!$O$13,MIN(0.4,F141+G141))</f>
        <v>0.11243404217516298</v>
      </c>
      <c r="I141" s="70">
        <f t="shared" si="29"/>
        <v>0</v>
      </c>
      <c r="J141" s="70">
        <f t="shared" ref="J141:J204" si="33">C141*D141</f>
        <v>7824.429118343156</v>
      </c>
      <c r="K141" s="70">
        <f>SUM(J$12:J141)</f>
        <v>10003321.084250713</v>
      </c>
      <c r="L141" s="70">
        <f t="shared" ref="L141:L204" si="34">M141/J141</f>
        <v>0.11243404217516298</v>
      </c>
      <c r="M141" s="70">
        <f>MAX(0,J141-I141)*H141+MIN(I141,J141)*Royalties!$O$17</f>
        <v>879.73219348836767</v>
      </c>
      <c r="N141" s="70">
        <f t="shared" si="31"/>
        <v>6944.6969248547884</v>
      </c>
      <c r="O141" s="70">
        <f t="shared" ref="O141:O204" si="35">H141*J141-M141</f>
        <v>0</v>
      </c>
    </row>
    <row r="142" spans="1:15" x14ac:dyDescent="0.4">
      <c r="A142">
        <v>131</v>
      </c>
      <c r="B142" s="65">
        <f t="shared" si="30"/>
        <v>131</v>
      </c>
      <c r="C142" s="65">
        <f>VLOOKUP(B142,'Oil Production'!$A$13:$I$252,7,FALSE)</f>
        <v>117.36109332996421</v>
      </c>
      <c r="D142" s="70">
        <f t="shared" si="32"/>
        <v>68.160256628792425</v>
      </c>
      <c r="E142" s="65">
        <f>D142*Royalties!$T$6</f>
        <v>428.71506374634487</v>
      </c>
      <c r="F142" s="65">
        <f>MIN((E142&lt;=Royalties!$N$10)*Royalties!$P$9+(E142&gt;=Royalties!$N$10)*(E142&lt;=Royalties!$N$11)*((E142-Royalties!$N$10)*Royalties!$O$10+Royalties!$P$10)+(E142&gt;=Royalties!$N$11)*(E142&lt;=Royalties!$N$12)*((E142-Royalties!$N$11)*Royalties!$O$11+Royalties!$P$11)+(E142&gt;Royalties!$N$12)*((E142-Royalties!$N$12)*Royalties!$O$12+Royalties!$P$12),Royalties!$O$14)</f>
        <v>0.2193810748610745</v>
      </c>
      <c r="G142" s="65">
        <f>(C142&lt;Royalties!$O$15)*(C142-Royalties!$O$15)*Royalties!$O$16</f>
        <v>-0.10346252400454833</v>
      </c>
      <c r="H142" s="83">
        <f>MAX(Royalties!$O$13,MIN(0.4,F142+G142))</f>
        <v>0.11591855085652616</v>
      </c>
      <c r="I142" s="70">
        <f t="shared" ref="I142:I205" si="36">MAX(I141-J141,0)</f>
        <v>0</v>
      </c>
      <c r="J142" s="70">
        <f t="shared" si="33"/>
        <v>7999.3622396060191</v>
      </c>
      <c r="K142" s="70">
        <f>SUM(J$12:J142)</f>
        <v>10011320.446490319</v>
      </c>
      <c r="L142" s="70">
        <f t="shared" si="34"/>
        <v>0.11591855085652616</v>
      </c>
      <c r="M142" s="70">
        <f>MAX(0,J142-I142)*H142+MIN(I142,J142)*Royalties!$O$17</f>
        <v>927.2744785915454</v>
      </c>
      <c r="N142" s="70">
        <f t="shared" si="31"/>
        <v>7072.0877610144735</v>
      </c>
      <c r="O142" s="70">
        <f t="shared" si="35"/>
        <v>0</v>
      </c>
    </row>
    <row r="143" spans="1:15" x14ac:dyDescent="0.4">
      <c r="A143">
        <v>132</v>
      </c>
      <c r="B143" s="65">
        <f t="shared" si="30"/>
        <v>132</v>
      </c>
      <c r="C143" s="65">
        <f>VLOOKUP(B143,'Oil Production'!$A$13:$I$252,7,FALSE)</f>
        <v>115.91027831539395</v>
      </c>
      <c r="D143" s="70">
        <f t="shared" si="32"/>
        <v>68.272828834174618</v>
      </c>
      <c r="E143" s="65">
        <f>D143*Royalties!$T$6</f>
        <v>429.42312152947989</v>
      </c>
      <c r="F143" s="65">
        <f>MIN((E143&lt;=Royalties!$N$10)*Royalties!$P$9+(E143&gt;=Royalties!$N$10)*(E143&lt;=Royalties!$N$11)*((E143-Royalties!$N$10)*Royalties!$O$10+Royalties!$P$10)+(E143&gt;=Royalties!$N$11)*(E143&lt;=Royalties!$N$12)*((E143-Royalties!$N$11)*Royalties!$O$11+Royalties!$P$11)+(E143&gt;Royalties!$N$12)*((E143-Royalties!$N$12)*Royalties!$O$12+Royalties!$P$12),Royalties!$O$14)</f>
        <v>0.21965721739649716</v>
      </c>
      <c r="G143" s="65">
        <f>(C143&lt;Royalties!$O$15)*(C143-Royalties!$O$15)*Royalties!$O$16</f>
        <v>-0.10542112427421817</v>
      </c>
      <c r="H143" s="83">
        <f>MAX(Royalties!$O$13,MIN(0.4,F143+G143))</f>
        <v>0.11423609312227899</v>
      </c>
      <c r="I143" s="70">
        <f t="shared" si="36"/>
        <v>0</v>
      </c>
      <c r="J143" s="70">
        <f t="shared" si="33"/>
        <v>7913.5225915484334</v>
      </c>
      <c r="K143" s="70">
        <f>SUM(J$12:J143)</f>
        <v>10019233.969081867</v>
      </c>
      <c r="L143" s="70">
        <f t="shared" si="34"/>
        <v>0.11423609312227899</v>
      </c>
      <c r="M143" s="70">
        <f>MAX(0,J143-I143)*H143+MIN(I143,J143)*Royalties!$O$17</f>
        <v>904.00990369338535</v>
      </c>
      <c r="N143" s="70">
        <f t="shared" si="31"/>
        <v>7009.5126878550482</v>
      </c>
      <c r="O143" s="70">
        <f t="shared" si="35"/>
        <v>0</v>
      </c>
    </row>
    <row r="144" spans="1:15" x14ac:dyDescent="0.4">
      <c r="A144">
        <v>133</v>
      </c>
      <c r="B144" s="65">
        <f t="shared" si="30"/>
        <v>133</v>
      </c>
      <c r="C144" s="65">
        <f>VLOOKUP(B144,'Oil Production'!$A$13:$I$252,7,FALSE)</f>
        <v>103.46985703427345</v>
      </c>
      <c r="D144" s="70">
        <f t="shared" si="32"/>
        <v>68.385586961706338</v>
      </c>
      <c r="E144" s="65">
        <f>D144*Royalties!$T$6</f>
        <v>430.13234872761012</v>
      </c>
      <c r="F144" s="65">
        <f>MIN((E144&lt;=Royalties!$N$10)*Royalties!$P$9+(E144&gt;=Royalties!$N$10)*(E144&lt;=Royalties!$N$11)*((E144-Royalties!$N$10)*Royalties!$O$10+Royalties!$P$10)+(E144&gt;=Royalties!$N$11)*(E144&lt;=Royalties!$N$12)*((E144-Royalties!$N$11)*Royalties!$O$11+Royalties!$P$11)+(E144&gt;Royalties!$N$12)*((E144-Royalties!$N$12)*Royalties!$O$12+Royalties!$P$12),Royalties!$O$14)</f>
        <v>0.21993381600376796</v>
      </c>
      <c r="G144" s="65">
        <f>(C144&lt;Royalties!$O$15)*(C144-Royalties!$O$15)*Royalties!$O$16</f>
        <v>-0.12221569300373085</v>
      </c>
      <c r="H144" s="83">
        <f>MAX(Royalties!$O$13,MIN(0.4,F144+G144))</f>
        <v>9.7718123000037113E-2</v>
      </c>
      <c r="I144" s="70">
        <f t="shared" si="36"/>
        <v>0</v>
      </c>
      <c r="J144" s="70">
        <f t="shared" si="33"/>
        <v>7075.8469061326286</v>
      </c>
      <c r="K144" s="70">
        <f>SUM(J$12:J144)</f>
        <v>10026309.815988</v>
      </c>
      <c r="L144" s="70">
        <f t="shared" si="34"/>
        <v>9.7718123000037113E-2</v>
      </c>
      <c r="M144" s="70">
        <f>MAX(0,J144-I144)*H144+MIN(I144,J144)*Royalties!$O$17</f>
        <v>691.43847830290031</v>
      </c>
      <c r="N144" s="70">
        <f t="shared" si="31"/>
        <v>6384.4084278297287</v>
      </c>
      <c r="O144" s="70">
        <f t="shared" si="35"/>
        <v>0</v>
      </c>
    </row>
    <row r="145" spans="1:15" x14ac:dyDescent="0.4">
      <c r="A145">
        <v>134</v>
      </c>
      <c r="B145" s="65">
        <f t="shared" si="30"/>
        <v>134</v>
      </c>
      <c r="C145" s="65">
        <f>VLOOKUP(B145,'Oil Production'!$A$13:$I$252,7,FALSE)</f>
        <v>113.22711020288989</v>
      </c>
      <c r="D145" s="70">
        <f t="shared" si="32"/>
        <v>68.498531318453132</v>
      </c>
      <c r="E145" s="65">
        <f>D145*Royalties!$T$6</f>
        <v>430.84274727211971</v>
      </c>
      <c r="F145" s="65">
        <f>MIN((E145&lt;=Royalties!$N$10)*Royalties!$P$9+(E145&gt;=Royalties!$N$10)*(E145&lt;=Royalties!$N$11)*((E145-Royalties!$N$10)*Royalties!$O$10+Royalties!$P$10)+(E145&gt;=Royalties!$N$11)*(E145&lt;=Royalties!$N$12)*((E145-Royalties!$N$11)*Royalties!$O$11+Royalties!$P$11)+(E145&gt;Royalties!$N$12)*((E145-Royalties!$N$12)*Royalties!$O$12+Royalties!$P$12),Royalties!$O$14)</f>
        <v>0.22021087143612669</v>
      </c>
      <c r="G145" s="65">
        <f>(C145&lt;Royalties!$O$15)*(C145-Royalties!$O$15)*Royalties!$O$16</f>
        <v>-0.10904340122609865</v>
      </c>
      <c r="H145" s="83">
        <f>MAX(Royalties!$O$13,MIN(0.4,F145+G145))</f>
        <v>0.11116747021002804</v>
      </c>
      <c r="I145" s="70">
        <f t="shared" si="36"/>
        <v>0</v>
      </c>
      <c r="J145" s="70">
        <f t="shared" si="33"/>
        <v>7755.8907543305977</v>
      </c>
      <c r="K145" s="70">
        <f>SUM(J$12:J145)</f>
        <v>10034065.706742331</v>
      </c>
      <c r="L145" s="70">
        <f t="shared" si="34"/>
        <v>0.11116747021002804</v>
      </c>
      <c r="M145" s="70">
        <f>MAX(0,J145-I145)*H145+MIN(I145,J145)*Royalties!$O$17</f>
        <v>862.20275438427859</v>
      </c>
      <c r="N145" s="70">
        <f t="shared" si="31"/>
        <v>6893.687999946319</v>
      </c>
      <c r="O145" s="70">
        <f t="shared" si="35"/>
        <v>0</v>
      </c>
    </row>
    <row r="146" spans="1:15" x14ac:dyDescent="0.4">
      <c r="A146">
        <v>135</v>
      </c>
      <c r="B146" s="65">
        <f t="shared" si="30"/>
        <v>135</v>
      </c>
      <c r="C146" s="65">
        <f>VLOOKUP(B146,'Oil Production'!$A$13:$I$252,7,FALSE)</f>
        <v>108.26973358148825</v>
      </c>
      <c r="D146" s="70">
        <f t="shared" si="32"/>
        <v>68.611662211987692</v>
      </c>
      <c r="E146" s="65">
        <f>D146*Royalties!$T$6</f>
        <v>431.55431909758232</v>
      </c>
      <c r="F146" s="65">
        <f>MIN((E146&lt;=Royalties!$N$10)*Royalties!$P$9+(E146&gt;=Royalties!$N$10)*(E146&lt;=Royalties!$N$11)*((E146-Royalties!$N$10)*Royalties!$O$10+Royalties!$P$10)+(E146&gt;=Royalties!$N$11)*(E146&lt;=Royalties!$N$12)*((E146-Royalties!$N$11)*Royalties!$O$11+Royalties!$P$11)+(E146&gt;Royalties!$N$12)*((E146-Royalties!$N$12)*Royalties!$O$12+Royalties!$P$12),Royalties!$O$14)</f>
        <v>0.2204883844480571</v>
      </c>
      <c r="G146" s="65">
        <f>(C146&lt;Royalties!$O$15)*(C146-Royalties!$O$15)*Royalties!$O$16</f>
        <v>-0.11573585966499086</v>
      </c>
      <c r="H146" s="83">
        <f>MAX(Royalties!$O$13,MIN(0.4,F146+G146))</f>
        <v>0.10475252478306624</v>
      </c>
      <c r="I146" s="70">
        <f t="shared" si="36"/>
        <v>0</v>
      </c>
      <c r="J146" s="70">
        <f t="shared" si="33"/>
        <v>7428.5663882749723</v>
      </c>
      <c r="K146" s="70">
        <f>SUM(J$12:J146)</f>
        <v>10041494.273130607</v>
      </c>
      <c r="L146" s="70">
        <f t="shared" si="34"/>
        <v>0.10475252478306624</v>
      </c>
      <c r="M146" s="70">
        <f>MAX(0,J146-I146)*H146+MIN(I146,J146)*Royalties!$O$17</f>
        <v>778.16108469042683</v>
      </c>
      <c r="N146" s="70">
        <f t="shared" si="31"/>
        <v>6650.4053035845454</v>
      </c>
      <c r="O146" s="70">
        <f t="shared" si="35"/>
        <v>0</v>
      </c>
    </row>
    <row r="147" spans="1:15" x14ac:dyDescent="0.4">
      <c r="A147">
        <v>136</v>
      </c>
      <c r="B147" s="65">
        <f t="shared" si="30"/>
        <v>136</v>
      </c>
      <c r="C147" s="65">
        <f>VLOOKUP(B147,'Oil Production'!$A$13:$I$252,7,FALSE)</f>
        <v>110.55598569716676</v>
      </c>
      <c r="D147" s="70">
        <f t="shared" si="32"/>
        <v>68.724979950390676</v>
      </c>
      <c r="E147" s="65">
        <f>D147*Royalties!$T$6</f>
        <v>432.2670661417668</v>
      </c>
      <c r="F147" s="65">
        <f>MIN((E147&lt;=Royalties!$N$10)*Royalties!$P$9+(E147&gt;=Royalties!$N$10)*(E147&lt;=Royalties!$N$11)*((E147-Royalties!$N$10)*Royalties!$O$10+Royalties!$P$10)+(E147&gt;=Royalties!$N$11)*(E147&lt;=Royalties!$N$12)*((E147-Royalties!$N$11)*Royalties!$O$11+Royalties!$P$11)+(E147&gt;Royalties!$N$12)*((E147-Royalties!$N$12)*Royalties!$O$12+Royalties!$P$12),Royalties!$O$14)</f>
        <v>0.22076635579528905</v>
      </c>
      <c r="G147" s="65">
        <f>(C147&lt;Royalties!$O$15)*(C147-Royalties!$O$15)*Royalties!$O$16</f>
        <v>-0.11264941930882488</v>
      </c>
      <c r="H147" s="83">
        <f>MAX(Royalties!$O$13,MIN(0.4,F147+G147))</f>
        <v>0.10811693648646417</v>
      </c>
      <c r="I147" s="70">
        <f t="shared" si="36"/>
        <v>0</v>
      </c>
      <c r="J147" s="70">
        <f t="shared" si="33"/>
        <v>7597.9579004334637</v>
      </c>
      <c r="K147" s="70">
        <f>SUM(J$12:J147)</f>
        <v>10049092.23103104</v>
      </c>
      <c r="L147" s="70">
        <f t="shared" si="34"/>
        <v>0.10811693648646417</v>
      </c>
      <c r="M147" s="70">
        <f>MAX(0,J147-I147)*H147+MIN(I147,J147)*Royalties!$O$17</f>
        <v>821.46793174799348</v>
      </c>
      <c r="N147" s="70">
        <f t="shared" si="31"/>
        <v>6776.4899686854706</v>
      </c>
      <c r="O147" s="70">
        <f t="shared" si="35"/>
        <v>0</v>
      </c>
    </row>
    <row r="148" spans="1:15" x14ac:dyDescent="0.4">
      <c r="A148">
        <v>137</v>
      </c>
      <c r="B148" s="65">
        <f t="shared" si="30"/>
        <v>137</v>
      </c>
      <c r="C148" s="65">
        <f>VLOOKUP(B148,'Oil Production'!$A$13:$I$252,7,FALSE)</f>
        <v>105.73350887818378</v>
      </c>
      <c r="D148" s="70">
        <f t="shared" si="32"/>
        <v>68.838484842251589</v>
      </c>
      <c r="E148" s="65">
        <f>D148*Royalties!$T$6</f>
        <v>432.98099034564245</v>
      </c>
      <c r="F148" s="65">
        <f>MIN((E148&lt;=Royalties!$N$10)*Royalties!$P$9+(E148&gt;=Royalties!$N$10)*(E148&lt;=Royalties!$N$11)*((E148-Royalties!$N$10)*Royalties!$O$10+Royalties!$P$10)+(E148&gt;=Royalties!$N$11)*(E148&lt;=Royalties!$N$12)*((E148-Royalties!$N$11)*Royalties!$O$11+Royalties!$P$11)+(E148&gt;Royalties!$N$12)*((E148-Royalties!$N$12)*Royalties!$O$12+Royalties!$P$12),Royalties!$O$14)</f>
        <v>0.22104478623480056</v>
      </c>
      <c r="G148" s="65">
        <f>(C148&lt;Royalties!$O$15)*(C148-Royalties!$O$15)*Royalties!$O$16</f>
        <v>-0.1191597630144519</v>
      </c>
      <c r="H148" s="83">
        <f>MAX(Royalties!$O$13,MIN(0.4,F148+G148))</f>
        <v>0.10188502322034866</v>
      </c>
      <c r="I148" s="70">
        <f t="shared" si="36"/>
        <v>0</v>
      </c>
      <c r="J148" s="70">
        <f t="shared" si="33"/>
        <v>7278.5345482289285</v>
      </c>
      <c r="K148" s="70">
        <f>SUM(J$12:J148)</f>
        <v>10056370.765579268</v>
      </c>
      <c r="L148" s="70">
        <f t="shared" si="34"/>
        <v>0.10188502322034866</v>
      </c>
      <c r="M148" s="70">
        <f>MAX(0,J148-I148)*H148+MIN(I148,J148)*Royalties!$O$17</f>
        <v>741.57366145641436</v>
      </c>
      <c r="N148" s="70">
        <f t="shared" si="31"/>
        <v>6536.9608867725146</v>
      </c>
      <c r="O148" s="70">
        <f t="shared" si="35"/>
        <v>0</v>
      </c>
    </row>
    <row r="149" spans="1:15" x14ac:dyDescent="0.4">
      <c r="A149">
        <v>138</v>
      </c>
      <c r="B149" s="65">
        <f t="shared" si="30"/>
        <v>138</v>
      </c>
      <c r="C149" s="65">
        <f>VLOOKUP(B149,'Oil Production'!$A$13:$I$252,7,FALSE)</f>
        <v>107.98427593958331</v>
      </c>
      <c r="D149" s="70">
        <f t="shared" si="32"/>
        <v>68.952177196669567</v>
      </c>
      <c r="E149" s="65">
        <f>D149*Royalties!$T$6</f>
        <v>433.6960936533842</v>
      </c>
      <c r="F149" s="65">
        <f>MIN((E149&lt;=Royalties!$N$10)*Royalties!$P$9+(E149&gt;=Royalties!$N$10)*(E149&lt;=Royalties!$N$11)*((E149-Royalties!$N$10)*Royalties!$O$10+Royalties!$P$10)+(E149&gt;=Royalties!$N$11)*(E149&lt;=Royalties!$N$12)*((E149-Royalties!$N$11)*Royalties!$O$11+Royalties!$P$11)+(E149&gt;Royalties!$N$12)*((E149-Royalties!$N$12)*Royalties!$O$12+Royalties!$P$12),Royalties!$O$14)</f>
        <v>0.22132367652481985</v>
      </c>
      <c r="G149" s="65">
        <f>(C149&lt;Royalties!$O$15)*(C149-Royalties!$O$15)*Royalties!$O$16</f>
        <v>-0.11612122748156253</v>
      </c>
      <c r="H149" s="83">
        <f>MAX(Royalties!$O$13,MIN(0.4,F149+G149))</f>
        <v>0.10520244904325732</v>
      </c>
      <c r="I149" s="70">
        <f t="shared" si="36"/>
        <v>0</v>
      </c>
      <c r="J149" s="70">
        <f t="shared" si="33"/>
        <v>7445.7509290402104</v>
      </c>
      <c r="K149" s="70">
        <f>SUM(J$12:J149)</f>
        <v>10063816.516508309</v>
      </c>
      <c r="L149" s="70">
        <f t="shared" si="34"/>
        <v>0.10520244904325732</v>
      </c>
      <c r="M149" s="70">
        <f>MAX(0,J149-I149)*H149+MIN(I149,J149)*Royalties!$O$17</f>
        <v>783.31123270113858</v>
      </c>
      <c r="N149" s="70">
        <f t="shared" si="31"/>
        <v>6662.4396963390718</v>
      </c>
      <c r="O149" s="70">
        <f t="shared" si="35"/>
        <v>0</v>
      </c>
    </row>
    <row r="150" spans="1:15" x14ac:dyDescent="0.4">
      <c r="A150">
        <v>139</v>
      </c>
      <c r="B150" s="65">
        <f t="shared" si="30"/>
        <v>139</v>
      </c>
      <c r="C150" s="65">
        <f>VLOOKUP(B150,'Oil Production'!$A$13:$I$252,7,FALSE)</f>
        <v>106.71381976144039</v>
      </c>
      <c r="D150" s="70">
        <f t="shared" si="32"/>
        <v>69.06605732325427</v>
      </c>
      <c r="E150" s="65">
        <f>D150*Royalties!$T$6</f>
        <v>434.41237801237793</v>
      </c>
      <c r="F150" s="65">
        <f>MIN((E150&lt;=Royalties!$N$10)*Royalties!$P$9+(E150&gt;=Royalties!$N$10)*(E150&lt;=Royalties!$N$11)*((E150-Royalties!$N$10)*Royalties!$O$10+Royalties!$P$10)+(E150&gt;=Royalties!$N$11)*(E150&lt;=Royalties!$N$12)*((E150-Royalties!$N$11)*Royalties!$O$11+Royalties!$P$11)+(E150&gt;Royalties!$N$12)*((E150-Royalties!$N$12)*Royalties!$O$12+Royalties!$P$12),Royalties!$O$14)</f>
        <v>0.2216030274248274</v>
      </c>
      <c r="G150" s="65">
        <f>(C150&lt;Royalties!$O$15)*(C150-Royalties!$O$15)*Royalties!$O$16</f>
        <v>-0.11783634332205548</v>
      </c>
      <c r="H150" s="83">
        <f>MAX(Royalties!$O$13,MIN(0.4,F150+G150))</f>
        <v>0.10376668410277193</v>
      </c>
      <c r="I150" s="70">
        <f t="shared" si="36"/>
        <v>0</v>
      </c>
      <c r="J150" s="70">
        <f t="shared" si="33"/>
        <v>7370.3027928270667</v>
      </c>
      <c r="K150" s="70">
        <f>SUM(J$12:J150)</f>
        <v>10071186.819301136</v>
      </c>
      <c r="L150" s="70">
        <f t="shared" si="34"/>
        <v>0.10376668410277193</v>
      </c>
      <c r="M150" s="70">
        <f>MAX(0,J150-I150)*H150+MIN(I150,J150)*Royalties!$O$17</f>
        <v>764.79188164506388</v>
      </c>
      <c r="N150" s="70">
        <f t="shared" si="31"/>
        <v>6605.5109111820029</v>
      </c>
      <c r="O150" s="70">
        <f t="shared" si="35"/>
        <v>0</v>
      </c>
    </row>
    <row r="151" spans="1:15" x14ac:dyDescent="0.4">
      <c r="A151">
        <v>140</v>
      </c>
      <c r="B151" s="65">
        <f t="shared" si="30"/>
        <v>140</v>
      </c>
      <c r="C151" s="65">
        <f>VLOOKUP(B151,'Oil Production'!$A$13:$I$252,7,FALSE)</f>
        <v>102.08416760931141</v>
      </c>
      <c r="D151" s="70">
        <f t="shared" si="32"/>
        <v>69.180125532126709</v>
      </c>
      <c r="E151" s="65">
        <f>D151*Royalties!$T$6</f>
        <v>435.12984537322592</v>
      </c>
      <c r="F151" s="65">
        <f>MIN((E151&lt;=Royalties!$N$10)*Royalties!$P$9+(E151&gt;=Royalties!$N$10)*(E151&lt;=Royalties!$N$11)*((E151-Royalties!$N$10)*Royalties!$O$10+Royalties!$P$10)+(E151&gt;=Royalties!$N$11)*(E151&lt;=Royalties!$N$12)*((E151-Royalties!$N$11)*Royalties!$O$11+Royalties!$P$11)+(E151&gt;Royalties!$N$12)*((E151-Royalties!$N$12)*Royalties!$O$12+Royalties!$P$12),Royalties!$O$14)</f>
        <v>0.22188283969555811</v>
      </c>
      <c r="G151" s="65">
        <f>(C151&lt;Royalties!$O$15)*(C151-Royalties!$O$15)*Royalties!$O$16</f>
        <v>-0.1240863737274296</v>
      </c>
      <c r="H151" s="83">
        <f>MAX(Royalties!$O$13,MIN(0.4,F151+G151))</f>
        <v>9.7796465968128507E-2</v>
      </c>
      <c r="I151" s="70">
        <f t="shared" si="36"/>
        <v>0</v>
      </c>
      <c r="J151" s="70">
        <f t="shared" si="33"/>
        <v>7062.1955300548261</v>
      </c>
      <c r="K151" s="70">
        <f>SUM(J$12:J151)</f>
        <v>10078249.014831191</v>
      </c>
      <c r="L151" s="70">
        <f t="shared" si="34"/>
        <v>9.7796465968128507E-2</v>
      </c>
      <c r="M151" s="70">
        <f>MAX(0,J151-I151)*H151+MIN(I151,J151)*Royalties!$O$17</f>
        <v>690.6577648152761</v>
      </c>
      <c r="N151" s="70">
        <f t="shared" si="31"/>
        <v>6371.53776523955</v>
      </c>
      <c r="O151" s="70">
        <f t="shared" si="35"/>
        <v>0</v>
      </c>
    </row>
    <row r="152" spans="1:15" x14ac:dyDescent="0.4">
      <c r="A152">
        <v>141</v>
      </c>
      <c r="B152" s="65">
        <f t="shared" si="30"/>
        <v>141</v>
      </c>
      <c r="C152" s="65">
        <f>VLOOKUP(B152,'Oil Production'!$A$13:$I$252,7,FALSE)</f>
        <v>104.2826595948427</v>
      </c>
      <c r="D152" s="70">
        <f t="shared" si="32"/>
        <v>69.294382133920067</v>
      </c>
      <c r="E152" s="65">
        <f>D152*Royalties!$T$6</f>
        <v>435.84849768975181</v>
      </c>
      <c r="F152" s="65">
        <f>MIN((E152&lt;=Royalties!$N$10)*Royalties!$P$9+(E152&gt;=Royalties!$N$10)*(E152&lt;=Royalties!$N$11)*((E152-Royalties!$N$10)*Royalties!$O$10+Royalties!$P$10)+(E152&gt;=Royalties!$N$11)*(E152&lt;=Royalties!$N$12)*((E152-Royalties!$N$11)*Royalties!$O$11+Royalties!$P$11)+(E152&gt;Royalties!$N$12)*((E152-Royalties!$N$12)*Royalties!$O$12+Royalties!$P$12),Royalties!$O$14)</f>
        <v>0.22216311409900322</v>
      </c>
      <c r="G152" s="65">
        <f>(C152&lt;Royalties!$O$15)*(C152-Royalties!$O$15)*Royalties!$O$16</f>
        <v>-0.12111840954696236</v>
      </c>
      <c r="H152" s="83">
        <f>MAX(Royalties!$O$13,MIN(0.4,F152+G152))</f>
        <v>0.10104470455204086</v>
      </c>
      <c r="I152" s="70">
        <f t="shared" si="36"/>
        <v>0</v>
      </c>
      <c r="J152" s="70">
        <f t="shared" si="33"/>
        <v>7226.2024639065357</v>
      </c>
      <c r="K152" s="70">
        <f>SUM(J$12:J152)</f>
        <v>10085475.217295097</v>
      </c>
      <c r="L152" s="70">
        <f t="shared" si="34"/>
        <v>0.10104470455204084</v>
      </c>
      <c r="M152" s="70">
        <f>MAX(0,J152-I152)*H152+MIN(I152,J152)*Royalties!$O$17</f>
        <v>730.16949299866553</v>
      </c>
      <c r="N152" s="70">
        <f t="shared" si="31"/>
        <v>6496.0329709078705</v>
      </c>
      <c r="O152" s="70">
        <f t="shared" si="35"/>
        <v>0</v>
      </c>
    </row>
    <row r="153" spans="1:15" x14ac:dyDescent="0.4">
      <c r="A153">
        <v>142</v>
      </c>
      <c r="B153" s="65">
        <f t="shared" si="30"/>
        <v>142</v>
      </c>
      <c r="C153" s="65">
        <f>VLOOKUP(B153,'Oil Production'!$A$13:$I$252,7,FALSE)</f>
        <v>99.774269013985759</v>
      </c>
      <c r="D153" s="70">
        <f t="shared" si="32"/>
        <v>69.408827439780566</v>
      </c>
      <c r="E153" s="65">
        <f>D153*Royalties!$T$6</f>
        <v>436.56833691900619</v>
      </c>
      <c r="F153" s="65">
        <f>MIN((E153&lt;=Royalties!$N$10)*Royalties!$P$9+(E153&gt;=Royalties!$N$10)*(E153&lt;=Royalties!$N$11)*((E153-Royalties!$N$10)*Royalties!$O$10+Royalties!$P$10)+(E153&gt;=Royalties!$N$11)*(E153&lt;=Royalties!$N$12)*((E153-Royalties!$N$11)*Royalties!$O$11+Royalties!$P$11)+(E153&gt;Royalties!$N$12)*((E153-Royalties!$N$12)*Royalties!$O$12+Royalties!$P$12),Royalties!$O$14)</f>
        <v>0.22244385139841241</v>
      </c>
      <c r="G153" s="65">
        <f>(C153&lt;Royalties!$O$15)*(C153-Royalties!$O$15)*Royalties!$O$16</f>
        <v>-0.12720473683111924</v>
      </c>
      <c r="H153" s="83">
        <f>MAX(Royalties!$O$13,MIN(0.4,F153+G153))</f>
        <v>9.523911456729317E-2</v>
      </c>
      <c r="I153" s="70">
        <f t="shared" si="36"/>
        <v>0</v>
      </c>
      <c r="J153" s="70">
        <f t="shared" si="33"/>
        <v>6925.2150209219826</v>
      </c>
      <c r="K153" s="70">
        <f>SUM(J$12:J153)</f>
        <v>10092400.432316018</v>
      </c>
      <c r="L153" s="70">
        <f t="shared" si="34"/>
        <v>9.523911456729317E-2</v>
      </c>
      <c r="M153" s="70">
        <f>MAX(0,J153-I153)*H153+MIN(I153,J153)*Royalties!$O$17</f>
        <v>659.5513467807283</v>
      </c>
      <c r="N153" s="70">
        <f t="shared" si="31"/>
        <v>6265.663674141254</v>
      </c>
      <c r="O153" s="70">
        <f t="shared" si="35"/>
        <v>0</v>
      </c>
    </row>
    <row r="154" spans="1:15" x14ac:dyDescent="0.4">
      <c r="A154">
        <v>143</v>
      </c>
      <c r="B154" s="65">
        <f t="shared" si="30"/>
        <v>143</v>
      </c>
      <c r="C154" s="65">
        <f>VLOOKUP(B154,'Oil Production'!$A$13:$I$252,7,FALSE)</f>
        <v>101.9389227910433</v>
      </c>
      <c r="D154" s="70">
        <f t="shared" si="32"/>
        <v>69.52346176136831</v>
      </c>
      <c r="E154" s="65">
        <f>D154*Royalties!$T$6</f>
        <v>437.28936502127203</v>
      </c>
      <c r="F154" s="65">
        <f>MIN((E154&lt;=Royalties!$N$10)*Royalties!$P$9+(E154&gt;=Royalties!$N$10)*(E154&lt;=Royalties!$N$11)*((E154-Royalties!$N$10)*Royalties!$O$10+Royalties!$P$10)+(E154&gt;=Royalties!$N$11)*(E154&lt;=Royalties!$N$12)*((E154-Royalties!$N$11)*Royalties!$O$11+Royalties!$P$11)+(E154&gt;Royalties!$N$12)*((E154-Royalties!$N$12)*Royalties!$O$12+Royalties!$P$12),Royalties!$O$14)</f>
        <v>0.22272505235829609</v>
      </c>
      <c r="G154" s="65">
        <f>(C154&lt;Royalties!$O$15)*(C154-Royalties!$O$15)*Royalties!$O$16</f>
        <v>-0.12428245423209155</v>
      </c>
      <c r="H154" s="83">
        <f>MAX(Royalties!$O$13,MIN(0.4,F154+G154))</f>
        <v>9.8442598126204539E-2</v>
      </c>
      <c r="I154" s="70">
        <f t="shared" si="36"/>
        <v>0</v>
      </c>
      <c r="J154" s="70">
        <f t="shared" si="33"/>
        <v>7087.1468006581754</v>
      </c>
      <c r="K154" s="70">
        <f>SUM(J$12:J154)</f>
        <v>10099487.579116676</v>
      </c>
      <c r="L154" s="70">
        <f t="shared" si="34"/>
        <v>9.8442598126204539E-2</v>
      </c>
      <c r="M154" s="70">
        <f>MAX(0,J154-I154)*H154+MIN(I154,J154)*Royalties!$O$17</f>
        <v>697.67714435860898</v>
      </c>
      <c r="N154" s="70">
        <f t="shared" si="31"/>
        <v>6389.4696562995669</v>
      </c>
      <c r="O154" s="70">
        <f t="shared" si="35"/>
        <v>0</v>
      </c>
    </row>
    <row r="155" spans="1:15" x14ac:dyDescent="0.4">
      <c r="A155">
        <v>144</v>
      </c>
      <c r="B155" s="65">
        <f t="shared" si="30"/>
        <v>144</v>
      </c>
      <c r="C155" s="65">
        <f>VLOOKUP(B155,'Oil Production'!$A$13:$I$252,7,FALSE)</f>
        <v>100.77996963838814</v>
      </c>
      <c r="D155" s="70">
        <f t="shared" si="32"/>
        <v>69.638285410858145</v>
      </c>
      <c r="E155" s="65">
        <f>D155*Royalties!$T$6</f>
        <v>438.01158396006969</v>
      </c>
      <c r="F155" s="65">
        <f>MIN((E155&lt;=Royalties!$N$10)*Royalties!$P$9+(E155&gt;=Royalties!$N$10)*(E155&lt;=Royalties!$N$11)*((E155-Royalties!$N$10)*Royalties!$O$10+Royalties!$P$10)+(E155&gt;=Royalties!$N$11)*(E155&lt;=Royalties!$N$12)*((E155-Royalties!$N$11)*Royalties!$O$11+Royalties!$P$11)+(E155&gt;Royalties!$N$12)*((E155-Royalties!$N$12)*Royalties!$O$12+Royalties!$P$12),Royalties!$O$14)</f>
        <v>0.22300671774442718</v>
      </c>
      <c r="G155" s="65">
        <f>(C155&lt;Royalties!$O$15)*(C155-Royalties!$O$15)*Royalties!$O$16</f>
        <v>-0.12584704098817601</v>
      </c>
      <c r="H155" s="83">
        <f>MAX(Royalties!$O$13,MIN(0.4,F155+G155))</f>
        <v>9.7159676756251173E-2</v>
      </c>
      <c r="I155" s="70">
        <f t="shared" si="36"/>
        <v>0</v>
      </c>
      <c r="J155" s="70">
        <f t="shared" si="33"/>
        <v>7018.1442893756912</v>
      </c>
      <c r="K155" s="70">
        <f>SUM(J$12:J155)</f>
        <v>10106505.723406052</v>
      </c>
      <c r="L155" s="70">
        <f t="shared" si="34"/>
        <v>9.7159676756251173E-2</v>
      </c>
      <c r="M155" s="70">
        <f>MAX(0,J155-I155)*H155+MIN(I155,J155)*Royalties!$O$17</f>
        <v>681.88063058447221</v>
      </c>
      <c r="N155" s="70">
        <f t="shared" si="31"/>
        <v>6336.2636587912193</v>
      </c>
      <c r="O155" s="70">
        <f t="shared" si="35"/>
        <v>0</v>
      </c>
    </row>
    <row r="156" spans="1:15" x14ac:dyDescent="0.4">
      <c r="A156">
        <v>145</v>
      </c>
      <c r="B156" s="65">
        <f t="shared" si="30"/>
        <v>145</v>
      </c>
      <c r="C156" s="65">
        <f>VLOOKUP(B156,'Oil Production'!$A$13:$I$252,7,FALSE)</f>
        <v>90.048351970151998</v>
      </c>
      <c r="D156" s="70">
        <f t="shared" si="32"/>
        <v>69.753298700940505</v>
      </c>
      <c r="E156" s="65">
        <f>D156*Royalties!$T$6</f>
        <v>438.73499570216262</v>
      </c>
      <c r="F156" s="65">
        <f>MIN((E156&lt;=Royalties!$N$10)*Royalties!$P$9+(E156&gt;=Royalties!$N$10)*(E156&lt;=Royalties!$N$11)*((E156-Royalties!$N$10)*Royalties!$O$10+Royalties!$P$10)+(E156&gt;=Royalties!$N$11)*(E156&lt;=Royalties!$N$12)*((E156-Royalties!$N$11)*Royalties!$O$11+Royalties!$P$11)+(E156&gt;Royalties!$N$12)*((E156-Royalties!$N$12)*Royalties!$O$12+Royalties!$P$12),Royalties!$O$14)</f>
        <v>0.22328884832384344</v>
      </c>
      <c r="G156" s="65">
        <f>(C156&lt;Royalties!$O$15)*(C156-Royalties!$O$15)*Royalties!$O$16</f>
        <v>-0.1403347248402948</v>
      </c>
      <c r="H156" s="83">
        <f>MAX(Royalties!$O$13,MIN(0.4,F156+G156))</f>
        <v>8.2954123483548636E-2</v>
      </c>
      <c r="I156" s="70">
        <f t="shared" si="36"/>
        <v>0</v>
      </c>
      <c r="J156" s="70">
        <f t="shared" si="33"/>
        <v>6281.1695925014365</v>
      </c>
      <c r="K156" s="70">
        <f>SUM(J$12:J156)</f>
        <v>10112786.892998554</v>
      </c>
      <c r="L156" s="70">
        <f t="shared" si="34"/>
        <v>8.2954123483548622E-2</v>
      </c>
      <c r="M156" s="70">
        <f>MAX(0,J156-I156)*H156+MIN(I156,J156)*Royalties!$O$17</f>
        <v>521.04891799747497</v>
      </c>
      <c r="N156" s="70">
        <f t="shared" si="31"/>
        <v>5760.1206745039617</v>
      </c>
      <c r="O156" s="70">
        <f t="shared" si="35"/>
        <v>0</v>
      </c>
    </row>
    <row r="157" spans="1:15" x14ac:dyDescent="0.4">
      <c r="A157">
        <v>146</v>
      </c>
      <c r="B157" s="65">
        <f t="shared" si="30"/>
        <v>146</v>
      </c>
      <c r="C157" s="65">
        <f>VLOOKUP(B157,'Oil Production'!$A$13:$I$252,7,FALSE)</f>
        <v>98.631639664701652</v>
      </c>
      <c r="D157" s="70">
        <f t="shared" si="32"/>
        <v>69.868501944822228</v>
      </c>
      <c r="E157" s="65">
        <f>D157*Royalties!$T$6</f>
        <v>439.45960221756229</v>
      </c>
      <c r="F157" s="65">
        <f>MIN((E157&lt;=Royalties!$N$10)*Royalties!$P$9+(E157&gt;=Royalties!$N$10)*(E157&lt;=Royalties!$N$11)*((E157-Royalties!$N$10)*Royalties!$O$10+Royalties!$P$10)+(E157&gt;=Royalties!$N$11)*(E157&lt;=Royalties!$N$12)*((E157-Royalties!$N$11)*Royalties!$O$11+Royalties!$P$11)+(E157&gt;Royalties!$N$12)*((E157-Royalties!$N$12)*Royalties!$O$12+Royalties!$P$12),Royalties!$O$14)</f>
        <v>0.22357144486484931</v>
      </c>
      <c r="G157" s="65">
        <f>(C157&lt;Royalties!$O$15)*(C157-Royalties!$O$15)*Royalties!$O$16</f>
        <v>-0.12874728645265276</v>
      </c>
      <c r="H157" s="83">
        <f>MAX(Royalties!$O$13,MIN(0.4,F157+G157))</f>
        <v>9.4824158412196546E-2</v>
      </c>
      <c r="I157" s="70">
        <f t="shared" si="36"/>
        <v>0</v>
      </c>
      <c r="J157" s="70">
        <f t="shared" si="33"/>
        <v>6891.2449077342126</v>
      </c>
      <c r="K157" s="70">
        <f>SUM(J$12:J157)</f>
        <v>10119678.137906289</v>
      </c>
      <c r="L157" s="70">
        <f t="shared" si="34"/>
        <v>9.4824158412196546E-2</v>
      </c>
      <c r="M157" s="70">
        <f>MAX(0,J157-I157)*H157+MIN(I157,J157)*Royalties!$O$17</f>
        <v>653.45649878823178</v>
      </c>
      <c r="N157" s="70">
        <f t="shared" si="31"/>
        <v>6237.7884089459803</v>
      </c>
      <c r="O157" s="70">
        <f t="shared" si="35"/>
        <v>0</v>
      </c>
    </row>
    <row r="158" spans="1:15" x14ac:dyDescent="0.4">
      <c r="A158">
        <v>147</v>
      </c>
      <c r="B158" s="65">
        <f t="shared" si="30"/>
        <v>147</v>
      </c>
      <c r="C158" s="65">
        <f>VLOOKUP(B158,'Oil Production'!$A$13:$I$252,7,FALSE)</f>
        <v>94.402830316801555</v>
      </c>
      <c r="D158" s="70">
        <f t="shared" si="32"/>
        <v>69.983895456227472</v>
      </c>
      <c r="E158" s="65">
        <f>D158*Royalties!$T$6</f>
        <v>440.18540547953415</v>
      </c>
      <c r="F158" s="65">
        <f>MIN((E158&lt;=Royalties!$N$10)*Royalties!$P$9+(E158&gt;=Royalties!$N$10)*(E158&lt;=Royalties!$N$11)*((E158-Royalties!$N$10)*Royalties!$O$10+Royalties!$P$10)+(E158&gt;=Royalties!$N$11)*(E158&lt;=Royalties!$N$12)*((E158-Royalties!$N$11)*Royalties!$O$11+Royalties!$P$11)+(E158&gt;Royalties!$N$12)*((E158-Royalties!$N$12)*Royalties!$O$12+Royalties!$P$12),Royalties!$O$14)</f>
        <v>0.22385450813701832</v>
      </c>
      <c r="G158" s="65">
        <f>(C158&lt;Royalties!$O$15)*(C158-Royalties!$O$15)*Royalties!$O$16</f>
        <v>-0.13445617907231791</v>
      </c>
      <c r="H158" s="83">
        <f>MAX(Royalties!$O$13,MIN(0.4,F158+G158))</f>
        <v>8.939832906470041E-2</v>
      </c>
      <c r="I158" s="70">
        <f t="shared" si="36"/>
        <v>0</v>
      </c>
      <c r="J158" s="70">
        <f t="shared" si="33"/>
        <v>6606.6778076630217</v>
      </c>
      <c r="K158" s="70">
        <f>SUM(J$12:J158)</f>
        <v>10126284.815713951</v>
      </c>
      <c r="L158" s="70">
        <f t="shared" si="34"/>
        <v>8.9398329064700396E-2</v>
      </c>
      <c r="M158" s="70">
        <f>MAX(0,J158-I158)*H158+MIN(I158,J158)*Royalties!$O$17</f>
        <v>590.62595667391224</v>
      </c>
      <c r="N158" s="70">
        <f t="shared" si="31"/>
        <v>6016.0518509891099</v>
      </c>
      <c r="O158" s="70">
        <f t="shared" si="35"/>
        <v>0</v>
      </c>
    </row>
    <row r="159" spans="1:15" x14ac:dyDescent="0.4">
      <c r="A159">
        <v>148</v>
      </c>
      <c r="B159" s="65">
        <f t="shared" si="30"/>
        <v>148</v>
      </c>
      <c r="C159" s="65">
        <f>VLOOKUP(B159,'Oil Production'!$A$13:$I$252,7,FALSE)</f>
        <v>96.486513264506357</v>
      </c>
      <c r="D159" s="70">
        <f t="shared" si="32"/>
        <v>70.099479549398524</v>
      </c>
      <c r="E159" s="65">
        <f>D159*Royalties!$T$6</f>
        <v>440.91240746460232</v>
      </c>
      <c r="F159" s="65">
        <f>MIN((E159&lt;=Royalties!$N$10)*Royalties!$P$9+(E159&gt;=Royalties!$N$10)*(E159&lt;=Royalties!$N$11)*((E159-Royalties!$N$10)*Royalties!$O$10+Royalties!$P$10)+(E159&gt;=Royalties!$N$11)*(E159&lt;=Royalties!$N$12)*((E159-Royalties!$N$11)*Royalties!$O$11+Royalties!$P$11)+(E159&gt;Royalties!$N$12)*((E159-Royalties!$N$12)*Royalties!$O$12+Royalties!$P$12),Royalties!$O$14)</f>
        <v>0.22413803891119491</v>
      </c>
      <c r="G159" s="65">
        <f>(C159&lt;Royalties!$O$15)*(C159-Royalties!$O$15)*Royalties!$O$16</f>
        <v>-0.13164320709291644</v>
      </c>
      <c r="H159" s="83">
        <f>MAX(Royalties!$O$13,MIN(0.4,F159+G159))</f>
        <v>9.2494831818278472E-2</v>
      </c>
      <c r="I159" s="70">
        <f t="shared" si="36"/>
        <v>0</v>
      </c>
      <c r="J159" s="70">
        <f t="shared" si="33"/>
        <v>6763.6543633780329</v>
      </c>
      <c r="K159" s="70">
        <f>SUM(J$12:J159)</f>
        <v>10133048.47007733</v>
      </c>
      <c r="L159" s="70">
        <f t="shared" si="34"/>
        <v>9.2494831818278472E-2</v>
      </c>
      <c r="M159" s="70">
        <f>MAX(0,J159-I159)*H159+MIN(I159,J159)*Royalties!$O$17</f>
        <v>625.60307281761652</v>
      </c>
      <c r="N159" s="70">
        <f t="shared" si="31"/>
        <v>6138.0512905604164</v>
      </c>
      <c r="O159" s="70">
        <f t="shared" si="35"/>
        <v>0</v>
      </c>
    </row>
    <row r="160" spans="1:15" x14ac:dyDescent="0.4">
      <c r="A160">
        <v>149</v>
      </c>
      <c r="B160" s="65">
        <f t="shared" si="30"/>
        <v>149</v>
      </c>
      <c r="C160" s="65">
        <f>VLOOKUP(B160,'Oil Production'!$A$13:$I$252,7,FALSE)</f>
        <v>92.362986080464907</v>
      </c>
      <c r="D160" s="70">
        <f t="shared" si="32"/>
        <v>70.215254539096648</v>
      </c>
      <c r="E160" s="65">
        <f>D160*Royalties!$T$6</f>
        <v>441.6406101525555</v>
      </c>
      <c r="F160" s="65">
        <f>MIN((E160&lt;=Royalties!$N$10)*Royalties!$P$9+(E160&gt;=Royalties!$N$10)*(E160&lt;=Royalties!$N$11)*((E160-Royalties!$N$10)*Royalties!$O$10+Royalties!$P$10)+(E160&gt;=Royalties!$N$11)*(E160&lt;=Royalties!$N$12)*((E160-Royalties!$N$11)*Royalties!$O$11+Royalties!$P$11)+(E160&gt;Royalties!$N$12)*((E160-Royalties!$N$12)*Royalties!$O$12+Royalties!$P$12),Royalties!$O$14)</f>
        <v>0.22442203795949664</v>
      </c>
      <c r="G160" s="65">
        <f>(C160&lt;Royalties!$O$15)*(C160-Royalties!$O$15)*Royalties!$O$16</f>
        <v>-0.13720996879137237</v>
      </c>
      <c r="H160" s="83">
        <f>MAX(Royalties!$O$13,MIN(0.4,F160+G160))</f>
        <v>8.7212069168124268E-2</v>
      </c>
      <c r="I160" s="70">
        <f t="shared" si="36"/>
        <v>0</v>
      </c>
      <c r="J160" s="70">
        <f t="shared" si="33"/>
        <v>6485.2905776308844</v>
      </c>
      <c r="K160" s="70">
        <f>SUM(J$12:J160)</f>
        <v>10139533.760654962</v>
      </c>
      <c r="L160" s="70">
        <f t="shared" si="34"/>
        <v>8.7212069168124268E-2</v>
      </c>
      <c r="M160" s="70">
        <f>MAX(0,J160-I160)*H160+MIN(I160,J160)*Royalties!$O$17</f>
        <v>565.59561043172926</v>
      </c>
      <c r="N160" s="70">
        <f t="shared" si="31"/>
        <v>5919.6949671991551</v>
      </c>
      <c r="O160" s="70">
        <f t="shared" si="35"/>
        <v>0</v>
      </c>
    </row>
    <row r="161" spans="1:15" x14ac:dyDescent="0.4">
      <c r="A161">
        <v>150</v>
      </c>
      <c r="B161" s="65">
        <f t="shared" si="30"/>
        <v>150</v>
      </c>
      <c r="C161" s="65">
        <f>VLOOKUP(B161,'Oil Production'!$A$13:$I$252,7,FALSE)</f>
        <v>94.415071419178275</v>
      </c>
      <c r="D161" s="70">
        <f t="shared" si="32"/>
        <v>70.331220740602987</v>
      </c>
      <c r="E161" s="65">
        <f>D161*Royalties!$T$6</f>
        <v>442.37001552645211</v>
      </c>
      <c r="F161" s="65">
        <f>MIN((E161&lt;=Royalties!$N$10)*Royalties!$P$9+(E161&gt;=Royalties!$N$10)*(E161&lt;=Royalties!$N$11)*((E161-Royalties!$N$10)*Royalties!$O$10+Royalties!$P$10)+(E161&gt;=Royalties!$N$11)*(E161&lt;=Royalties!$N$12)*((E161-Royalties!$N$11)*Royalties!$O$11+Royalties!$P$11)+(E161&gt;Royalties!$N$12)*((E161-Royalties!$N$12)*Royalties!$O$12+Royalties!$P$12),Royalties!$O$14)</f>
        <v>0.22470650605531634</v>
      </c>
      <c r="G161" s="65">
        <f>(C161&lt;Royalties!$O$15)*(C161-Royalties!$O$15)*Royalties!$O$16</f>
        <v>-0.13443965358410934</v>
      </c>
      <c r="H161" s="83">
        <f>MAX(Royalties!$O$13,MIN(0.4,F161+G161))</f>
        <v>9.0266852471206999E-2</v>
      </c>
      <c r="I161" s="70">
        <f t="shared" si="36"/>
        <v>0</v>
      </c>
      <c r="J161" s="70">
        <f t="shared" si="33"/>
        <v>6640.3272292220236</v>
      </c>
      <c r="K161" s="70">
        <f>SUM(J$12:J161)</f>
        <v>10146174.087884184</v>
      </c>
      <c r="L161" s="70">
        <f t="shared" si="34"/>
        <v>9.0266852471206985E-2</v>
      </c>
      <c r="M161" s="70">
        <f>MAX(0,J161-I161)*H161+MIN(I161,J161)*Royalties!$O$17</f>
        <v>599.40143836072309</v>
      </c>
      <c r="N161" s="70">
        <f t="shared" si="31"/>
        <v>6040.9257908613008</v>
      </c>
      <c r="O161" s="70">
        <f t="shared" si="35"/>
        <v>0</v>
      </c>
    </row>
    <row r="162" spans="1:15" x14ac:dyDescent="0.4">
      <c r="A162">
        <v>151</v>
      </c>
      <c r="B162" s="65">
        <f t="shared" si="30"/>
        <v>151</v>
      </c>
      <c r="C162" s="65">
        <f>VLOOKUP(B162,'Oil Production'!$A$13:$I$252,7,FALSE)</f>
        <v>93.389500630612019</v>
      </c>
      <c r="D162" s="70">
        <f t="shared" si="32"/>
        <v>70.447378469719396</v>
      </c>
      <c r="E162" s="65">
        <f>D162*Royalties!$T$6</f>
        <v>443.10062557262575</v>
      </c>
      <c r="F162" s="65">
        <f>MIN((E162&lt;=Royalties!$N$10)*Royalties!$P$9+(E162&gt;=Royalties!$N$10)*(E162&lt;=Royalties!$N$11)*((E162-Royalties!$N$10)*Royalties!$O$10+Royalties!$P$10)+(E162&gt;=Royalties!$N$11)*(E162&lt;=Royalties!$N$12)*((E162-Royalties!$N$11)*Royalties!$O$11+Royalties!$P$11)+(E162&gt;Royalties!$N$12)*((E162-Royalties!$N$12)*Royalties!$O$12+Royalties!$P$12),Royalties!$O$14)</f>
        <v>0.22499144397332405</v>
      </c>
      <c r="G162" s="65">
        <f>(C162&lt;Royalties!$O$15)*(C162-Royalties!$O$15)*Royalties!$O$16</f>
        <v>-0.13582417414867379</v>
      </c>
      <c r="H162" s="83">
        <f>MAX(Royalties!$O$13,MIN(0.4,F162+G162))</f>
        <v>8.9167269824650258E-2</v>
      </c>
      <c r="I162" s="70">
        <f t="shared" si="36"/>
        <v>0</v>
      </c>
      <c r="J162" s="70">
        <f t="shared" si="33"/>
        <v>6579.0454960228235</v>
      </c>
      <c r="K162" s="70">
        <f>SUM(J$12:J162)</f>
        <v>10152753.133380206</v>
      </c>
      <c r="L162" s="70">
        <f t="shared" si="34"/>
        <v>8.9167269824650258E-2</v>
      </c>
      <c r="M162" s="70">
        <f>MAX(0,J162-I162)*H162+MIN(I162,J162)*Royalties!$O$17</f>
        <v>586.63552493251711</v>
      </c>
      <c r="N162" s="70">
        <f t="shared" si="31"/>
        <v>5992.4099710903065</v>
      </c>
      <c r="O162" s="70">
        <f t="shared" si="35"/>
        <v>0</v>
      </c>
    </row>
    <row r="163" spans="1:15" x14ac:dyDescent="0.4">
      <c r="A163">
        <v>152</v>
      </c>
      <c r="B163" s="65">
        <f t="shared" si="30"/>
        <v>152</v>
      </c>
      <c r="C163" s="65">
        <f>VLOOKUP(B163,'Oil Production'!$A$13:$I$252,7,FALSE)</f>
        <v>89.417139130353462</v>
      </c>
      <c r="D163" s="70">
        <f t="shared" si="32"/>
        <v>70.563728042769284</v>
      </c>
      <c r="E163" s="65">
        <f>D163*Royalties!$T$6</f>
        <v>443.83244228069066</v>
      </c>
      <c r="F163" s="65">
        <f>MIN((E163&lt;=Royalties!$N$10)*Royalties!$P$9+(E163&gt;=Royalties!$N$10)*(E163&lt;=Royalties!$N$11)*((E163-Royalties!$N$10)*Royalties!$O$10+Royalties!$P$10)+(E163&gt;=Royalties!$N$11)*(E163&lt;=Royalties!$N$12)*((E163-Royalties!$N$11)*Royalties!$O$11+Royalties!$P$11)+(E163&gt;Royalties!$N$12)*((E163-Royalties!$N$12)*Royalties!$O$12+Royalties!$P$12),Royalties!$O$14)</f>
        <v>0.22527685248946935</v>
      </c>
      <c r="G163" s="65">
        <f>(C163&lt;Royalties!$O$15)*(C163-Royalties!$O$15)*Royalties!$O$16</f>
        <v>-0.14118686217402282</v>
      </c>
      <c r="H163" s="83">
        <f>MAX(Royalties!$O$13,MIN(0.4,F163+G163))</f>
        <v>8.4089990315446533E-2</v>
      </c>
      <c r="I163" s="70">
        <f t="shared" si="36"/>
        <v>0</v>
      </c>
      <c r="J163" s="70">
        <f t="shared" si="33"/>
        <v>6309.6066879567252</v>
      </c>
      <c r="K163" s="70">
        <f>SUM(J$12:J163)</f>
        <v>10159062.740068164</v>
      </c>
      <c r="L163" s="70">
        <f t="shared" si="34"/>
        <v>8.4089990315446533E-2</v>
      </c>
      <c r="M163" s="70">
        <f>MAX(0,J163-I163)*H163+MIN(I163,J163)*Royalties!$O$17</f>
        <v>530.57476528455766</v>
      </c>
      <c r="N163" s="70">
        <f t="shared" si="31"/>
        <v>5779.0319226721676</v>
      </c>
      <c r="O163" s="70">
        <f t="shared" si="35"/>
        <v>0</v>
      </c>
    </row>
    <row r="164" spans="1:15" x14ac:dyDescent="0.4">
      <c r="A164">
        <v>153</v>
      </c>
      <c r="B164" s="65">
        <f t="shared" si="30"/>
        <v>153</v>
      </c>
      <c r="C164" s="65">
        <f>VLOOKUP(B164,'Oil Production'!$A$13:$I$252,7,FALSE)</f>
        <v>91.422755900333868</v>
      </c>
      <c r="D164" s="70">
        <f t="shared" si="32"/>
        <v>70.680269776598507</v>
      </c>
      <c r="E164" s="65">
        <f>D164*Royalties!$T$6</f>
        <v>444.56546764354704</v>
      </c>
      <c r="F164" s="65">
        <f>MIN((E164&lt;=Royalties!$N$10)*Royalties!$P$9+(E164&gt;=Royalties!$N$10)*(E164&lt;=Royalties!$N$11)*((E164-Royalties!$N$10)*Royalties!$O$10+Royalties!$P$10)+(E164&gt;=Royalties!$N$11)*(E164&lt;=Royalties!$N$12)*((E164-Royalties!$N$11)*Royalties!$O$11+Royalties!$P$11)+(E164&gt;Royalties!$N$12)*((E164-Royalties!$N$12)*Royalties!$O$12+Royalties!$P$12),Royalties!$O$14)</f>
        <v>0.22556273238098334</v>
      </c>
      <c r="G164" s="65">
        <f>(C164&lt;Royalties!$O$15)*(C164-Royalties!$O$15)*Royalties!$O$16</f>
        <v>-0.13847927953454928</v>
      </c>
      <c r="H164" s="83">
        <f>MAX(Royalties!$O$13,MIN(0.4,F164+G164))</f>
        <v>8.7083452846434067E-2</v>
      </c>
      <c r="I164" s="70">
        <f t="shared" si="36"/>
        <v>0</v>
      </c>
      <c r="J164" s="70">
        <f t="shared" si="33"/>
        <v>6461.7850507557105</v>
      </c>
      <c r="K164" s="70">
        <f>SUM(J$12:J164)</f>
        <v>10165524.525118919</v>
      </c>
      <c r="L164" s="70">
        <f t="shared" si="34"/>
        <v>8.7083452846434067E-2</v>
      </c>
      <c r="M164" s="70">
        <f>MAX(0,J164-I164)*H164+MIN(I164,J164)*Royalties!$O$17</f>
        <v>562.71455377127745</v>
      </c>
      <c r="N164" s="70">
        <f t="shared" si="31"/>
        <v>5899.0704969844328</v>
      </c>
      <c r="O164" s="70">
        <f t="shared" si="35"/>
        <v>0</v>
      </c>
    </row>
    <row r="165" spans="1:15" x14ac:dyDescent="0.4">
      <c r="A165">
        <v>154</v>
      </c>
      <c r="B165" s="65">
        <f t="shared" si="30"/>
        <v>154</v>
      </c>
      <c r="C165" s="65">
        <f>VLOOKUP(B165,'Oil Production'!$A$13:$I$252,7,FALSE)</f>
        <v>87.545874053030275</v>
      </c>
      <c r="D165" s="70">
        <f t="shared" si="32"/>
        <v>70.797003988576208</v>
      </c>
      <c r="E165" s="65">
        <f>D165*Royalties!$T$6</f>
        <v>445.29970365738654</v>
      </c>
      <c r="F165" s="65">
        <f>MIN((E165&lt;=Royalties!$N$10)*Royalties!$P$9+(E165&gt;=Royalties!$N$10)*(E165&lt;=Royalties!$N$11)*((E165-Royalties!$N$10)*Royalties!$O$10+Royalties!$P$10)+(E165&gt;=Royalties!$N$11)*(E165&lt;=Royalties!$N$12)*((E165-Royalties!$N$11)*Royalties!$O$11+Royalties!$P$11)+(E165&gt;Royalties!$N$12)*((E165-Royalties!$N$12)*Royalties!$O$12+Royalties!$P$12),Royalties!$O$14)</f>
        <v>0.22584908442638077</v>
      </c>
      <c r="G165" s="65">
        <f>(C165&lt;Royalties!$O$15)*(C165-Royalties!$O$15)*Royalties!$O$16</f>
        <v>-0.14371307002840913</v>
      </c>
      <c r="H165" s="83">
        <f>MAX(Royalties!$O$13,MIN(0.4,F165+G165))</f>
        <v>8.2136014397971635E-2</v>
      </c>
      <c r="I165" s="70">
        <f t="shared" si="36"/>
        <v>0</v>
      </c>
      <c r="J165" s="70">
        <f t="shared" si="33"/>
        <v>6197.9855945157751</v>
      </c>
      <c r="K165" s="70">
        <f>SUM(J$12:J165)</f>
        <v>10171722.510713436</v>
      </c>
      <c r="L165" s="70">
        <f t="shared" si="34"/>
        <v>8.2136014397971635E-2</v>
      </c>
      <c r="M165" s="70">
        <f>MAX(0,J165-I165)*H165+MIN(I165,J165)*Royalties!$O$17</f>
        <v>509.07783402956846</v>
      </c>
      <c r="N165" s="70">
        <f t="shared" si="31"/>
        <v>5688.9077604862068</v>
      </c>
      <c r="O165" s="70">
        <f t="shared" si="35"/>
        <v>0</v>
      </c>
    </row>
    <row r="166" spans="1:15" x14ac:dyDescent="0.4">
      <c r="A166">
        <v>155</v>
      </c>
      <c r="B166" s="65">
        <f t="shared" si="30"/>
        <v>155</v>
      </c>
      <c r="C166" s="65">
        <f>VLOOKUP(B166,'Oil Production'!$A$13:$I$252,7,FALSE)</f>
        <v>89.521454043715494</v>
      </c>
      <c r="D166" s="70">
        <f t="shared" si="32"/>
        <v>70.91393099659571</v>
      </c>
      <c r="E166" s="65">
        <f>D166*Royalties!$T$6</f>
        <v>446.03515232169769</v>
      </c>
      <c r="F166" s="65">
        <f>MIN((E166&lt;=Royalties!$N$10)*Royalties!$P$9+(E166&gt;=Royalties!$N$10)*(E166&lt;=Royalties!$N$11)*((E166-Royalties!$N$10)*Royalties!$O$10+Royalties!$P$10)+(E166&gt;=Royalties!$N$11)*(E166&lt;=Royalties!$N$12)*((E166-Royalties!$N$11)*Royalties!$O$11+Royalties!$P$11)+(E166&gt;Royalties!$N$12)*((E166-Royalties!$N$12)*Royalties!$O$12+Royalties!$P$12),Royalties!$O$14)</f>
        <v>0.2261359094054621</v>
      </c>
      <c r="G166" s="65">
        <f>(C166&lt;Royalties!$O$15)*(C166-Royalties!$O$15)*Royalties!$O$16</f>
        <v>-0.14104603704098409</v>
      </c>
      <c r="H166" s="83">
        <f>MAX(Royalties!$O$13,MIN(0.4,F166+G166))</f>
        <v>8.5089872364478014E-2</v>
      </c>
      <c r="I166" s="70">
        <f t="shared" si="36"/>
        <v>0</v>
      </c>
      <c r="J166" s="70">
        <f t="shared" si="33"/>
        <v>6348.3182147709549</v>
      </c>
      <c r="K166" s="70">
        <f>SUM(J$12:J166)</f>
        <v>10178070.828928206</v>
      </c>
      <c r="L166" s="70">
        <f t="shared" si="34"/>
        <v>8.5089872364478014E-2</v>
      </c>
      <c r="M166" s="70">
        <f>MAX(0,J166-I166)*H166+MIN(I166,J166)*Royalties!$O$17</f>
        <v>540.17758662395147</v>
      </c>
      <c r="N166" s="70">
        <f t="shared" si="31"/>
        <v>5808.1406281470036</v>
      </c>
      <c r="O166" s="70">
        <f t="shared" si="35"/>
        <v>0</v>
      </c>
    </row>
    <row r="167" spans="1:15" x14ac:dyDescent="0.4">
      <c r="A167">
        <v>156</v>
      </c>
      <c r="B167" s="65">
        <f t="shared" si="30"/>
        <v>156</v>
      </c>
      <c r="C167" s="65">
        <f>VLOOKUP(B167,'Oil Production'!$A$13:$I$252,7,FALSE)</f>
        <v>88.579344081721501</v>
      </c>
      <c r="D167" s="70">
        <f t="shared" si="32"/>
        <v>71.031051119075343</v>
      </c>
      <c r="E167" s="65">
        <f>D167*Royalties!$T$6</f>
        <v>446.77181563927127</v>
      </c>
      <c r="F167" s="65">
        <f>MIN((E167&lt;=Royalties!$N$10)*Royalties!$P$9+(E167&gt;=Royalties!$N$10)*(E167&lt;=Royalties!$N$11)*((E167-Royalties!$N$10)*Royalties!$O$10+Royalties!$P$10)+(E167&gt;=Royalties!$N$11)*(E167&lt;=Royalties!$N$12)*((E167-Royalties!$N$11)*Royalties!$O$11+Royalties!$P$11)+(E167&gt;Royalties!$N$12)*((E167-Royalties!$N$12)*Royalties!$O$12+Royalties!$P$12),Royalties!$O$14)</f>
        <v>0.22642320809931579</v>
      </c>
      <c r="G167" s="65">
        <f>(C167&lt;Royalties!$O$15)*(C167-Royalties!$O$15)*Royalties!$O$16</f>
        <v>-0.14231788548967597</v>
      </c>
      <c r="H167" s="83">
        <f>MAX(Royalties!$O$13,MIN(0.4,F167+G167))</f>
        <v>8.4105322609639821E-2</v>
      </c>
      <c r="I167" s="70">
        <f t="shared" si="36"/>
        <v>0</v>
      </c>
      <c r="J167" s="70">
        <f t="shared" si="33"/>
        <v>6291.8839175629237</v>
      </c>
      <c r="K167" s="70">
        <f>SUM(J$12:J167)</f>
        <v>10184362.712845769</v>
      </c>
      <c r="L167" s="70">
        <f t="shared" si="34"/>
        <v>8.4105322609639821E-2</v>
      </c>
      <c r="M167" s="70">
        <f>MAX(0,J167-I167)*H167+MIN(I167,J167)*Royalties!$O$17</f>
        <v>529.18092670903411</v>
      </c>
      <c r="N167" s="70">
        <f t="shared" si="31"/>
        <v>5762.7029908538898</v>
      </c>
      <c r="O167" s="70">
        <f t="shared" si="35"/>
        <v>0</v>
      </c>
    </row>
    <row r="168" spans="1:15" x14ac:dyDescent="0.4">
      <c r="A168">
        <v>157</v>
      </c>
      <c r="B168" s="65">
        <f t="shared" si="30"/>
        <v>157</v>
      </c>
      <c r="C168" s="65">
        <f>VLOOKUP(B168,'Oil Production'!$A$13:$I$252,7,FALSE)</f>
        <v>79.210505490220385</v>
      </c>
      <c r="D168" s="70">
        <f t="shared" si="32"/>
        <v>71.148364674959353</v>
      </c>
      <c r="E168" s="65">
        <f>D168*Royalties!$T$6</f>
        <v>447.5096956162061</v>
      </c>
      <c r="F168" s="65">
        <f>MIN((E168&lt;=Royalties!$N$10)*Royalties!$P$9+(E168&gt;=Royalties!$N$10)*(E168&lt;=Royalties!$N$11)*((E168-Royalties!$N$10)*Royalties!$O$10+Royalties!$P$10)+(E168&gt;=Royalties!$N$11)*(E168&lt;=Royalties!$N$12)*((E168-Royalties!$N$11)*Royalties!$O$11+Royalties!$P$11)+(E168&gt;Royalties!$N$12)*((E168-Royalties!$N$12)*Royalties!$O$12+Royalties!$P$12),Royalties!$O$14)</f>
        <v>0.22671098129032038</v>
      </c>
      <c r="G168" s="65">
        <f>(C168&lt;Royalties!$O$15)*(C168-Royalties!$O$15)*Royalties!$O$16</f>
        <v>-0.15496581758820249</v>
      </c>
      <c r="H168" s="83">
        <f>MAX(Royalties!$O$13,MIN(0.4,F168+G168))</f>
        <v>7.1745163702117892E-2</v>
      </c>
      <c r="I168" s="70">
        <f t="shared" si="36"/>
        <v>0</v>
      </c>
      <c r="J168" s="70">
        <f t="shared" si="33"/>
        <v>5635.6979307060701</v>
      </c>
      <c r="K168" s="70">
        <f>SUM(J$12:J168)</f>
        <v>10189998.410776475</v>
      </c>
      <c r="L168" s="70">
        <f t="shared" si="34"/>
        <v>7.1745163702117892E-2</v>
      </c>
      <c r="M168" s="70">
        <f>MAX(0,J168-I168)*H168+MIN(I168,J168)*Royalties!$O$17</f>
        <v>404.33407061419405</v>
      </c>
      <c r="N168" s="70">
        <f t="shared" si="31"/>
        <v>5231.3638600918757</v>
      </c>
      <c r="O168" s="70">
        <f t="shared" si="35"/>
        <v>0</v>
      </c>
    </row>
    <row r="169" spans="1:15" x14ac:dyDescent="0.4">
      <c r="A169">
        <v>158</v>
      </c>
      <c r="B169" s="65">
        <f t="shared" si="30"/>
        <v>158</v>
      </c>
      <c r="C169" s="65">
        <f>VLOOKUP(B169,'Oil Production'!$A$13:$I$252,7,FALSE)</f>
        <v>86.82954767125193</v>
      </c>
      <c r="D169" s="70">
        <f t="shared" si="32"/>
        <v>71.265871983718711</v>
      </c>
      <c r="E169" s="65">
        <f>D169*Royalties!$T$6</f>
        <v>448.24879426191382</v>
      </c>
      <c r="F169" s="65">
        <f>MIN((E169&lt;=Royalties!$N$10)*Royalties!$P$9+(E169&gt;=Royalties!$N$10)*(E169&lt;=Royalties!$N$11)*((E169-Royalties!$N$10)*Royalties!$O$10+Royalties!$P$10)+(E169&gt;=Royalties!$N$11)*(E169&lt;=Royalties!$N$12)*((E169-Royalties!$N$11)*Royalties!$O$11+Royalties!$P$11)+(E169&gt;Royalties!$N$12)*((E169-Royalties!$N$12)*Royalties!$O$12+Royalties!$P$12),Royalties!$O$14)</f>
        <v>0.2269992297621464</v>
      </c>
      <c r="G169" s="65">
        <f>(C169&lt;Royalties!$O$15)*(C169-Royalties!$O$15)*Royalties!$O$16</f>
        <v>-0.14468011064380989</v>
      </c>
      <c r="H169" s="83">
        <f>MAX(Royalties!$O$13,MIN(0.4,F169+G169))</f>
        <v>8.2319119118336503E-2</v>
      </c>
      <c r="I169" s="70">
        <f t="shared" si="36"/>
        <v>0</v>
      </c>
      <c r="J169" s="70">
        <f t="shared" si="33"/>
        <v>6187.9834287436415</v>
      </c>
      <c r="K169" s="70">
        <f>SUM(J$12:J169)</f>
        <v>10196186.394205218</v>
      </c>
      <c r="L169" s="70">
        <f t="shared" si="34"/>
        <v>8.2319119118336503E-2</v>
      </c>
      <c r="M169" s="70">
        <f>MAX(0,J169-I169)*H169+MIN(I169,J169)*Royalties!$O$17</f>
        <v>509.38934497304018</v>
      </c>
      <c r="N169" s="70">
        <f t="shared" si="31"/>
        <v>5678.5940837706012</v>
      </c>
      <c r="O169" s="70">
        <f t="shared" si="35"/>
        <v>0</v>
      </c>
    </row>
    <row r="170" spans="1:15" x14ac:dyDescent="0.4">
      <c r="A170">
        <v>159</v>
      </c>
      <c r="B170" s="65">
        <f t="shared" si="30"/>
        <v>159</v>
      </c>
      <c r="C170" s="65">
        <f>VLOOKUP(B170,'Oil Production'!$A$13:$I$252,7,FALSE)</f>
        <v>83.174064071616158</v>
      </c>
      <c r="D170" s="70">
        <f t="shared" si="32"/>
        <v>71.383573365352063</v>
      </c>
      <c r="E170" s="65">
        <f>D170*Royalties!$T$6</f>
        <v>448.98911358912505</v>
      </c>
      <c r="F170" s="65">
        <f>MIN((E170&lt;=Royalties!$N$10)*Royalties!$P$9+(E170&gt;=Royalties!$N$10)*(E170&lt;=Royalties!$N$11)*((E170-Royalties!$N$10)*Royalties!$O$10+Royalties!$P$10)+(E170&gt;=Royalties!$N$11)*(E170&lt;=Royalties!$N$12)*((E170-Royalties!$N$11)*Royalties!$O$11+Royalties!$P$11)+(E170&gt;Royalties!$N$12)*((E170-Royalties!$N$12)*Royalties!$O$12+Royalties!$P$12),Royalties!$O$14)</f>
        <v>0.22728795429975879</v>
      </c>
      <c r="G170" s="65">
        <f>(C170&lt;Royalties!$O$15)*(C170-Royalties!$O$15)*Royalties!$O$16</f>
        <v>-0.14961501350331818</v>
      </c>
      <c r="H170" s="83">
        <f>MAX(Royalties!$O$13,MIN(0.4,F170+G170))</f>
        <v>7.7672940796440604E-2</v>
      </c>
      <c r="I170" s="70">
        <f t="shared" si="36"/>
        <v>0</v>
      </c>
      <c r="J170" s="70">
        <f t="shared" si="33"/>
        <v>5937.2619047507051</v>
      </c>
      <c r="K170" s="70">
        <f>SUM(J$12:J170)</f>
        <v>10202123.656109968</v>
      </c>
      <c r="L170" s="70">
        <f t="shared" si="34"/>
        <v>7.7672940796440604E-2</v>
      </c>
      <c r="M170" s="70">
        <f>MAX(0,J170-I170)*H170+MIN(I170,J170)*Royalties!$O$17</f>
        <v>461.16459242066367</v>
      </c>
      <c r="N170" s="70">
        <f t="shared" si="31"/>
        <v>5476.0973123300409</v>
      </c>
      <c r="O170" s="70">
        <f t="shared" si="35"/>
        <v>0</v>
      </c>
    </row>
    <row r="171" spans="1:15" x14ac:dyDescent="0.4">
      <c r="A171">
        <v>160</v>
      </c>
      <c r="B171" s="65">
        <f t="shared" si="30"/>
        <v>160</v>
      </c>
      <c r="C171" s="65">
        <f>VLOOKUP(B171,'Oil Production'!$A$13:$I$252,7,FALSE)</f>
        <v>85.077875461225631</v>
      </c>
      <c r="D171" s="70">
        <f t="shared" si="32"/>
        <v>71.501469140386533</v>
      </c>
      <c r="E171" s="65">
        <f>D171*Royalties!$T$6</f>
        <v>449.73065561389461</v>
      </c>
      <c r="F171" s="65">
        <f>MIN((E171&lt;=Royalties!$N$10)*Royalties!$P$9+(E171&gt;=Royalties!$N$10)*(E171&lt;=Royalties!$N$11)*((E171-Royalties!$N$10)*Royalties!$O$10+Royalties!$P$10)+(E171&gt;=Royalties!$N$11)*(E171&lt;=Royalties!$N$12)*((E171-Royalties!$N$11)*Royalties!$O$11+Royalties!$P$11)+(E171&gt;Royalties!$N$12)*((E171-Royalties!$N$12)*Royalties!$O$12+Royalties!$P$12),Royalties!$O$14)</f>
        <v>0.22757715568941891</v>
      </c>
      <c r="G171" s="65">
        <f>(C171&lt;Royalties!$O$15)*(C171-Royalties!$O$15)*Royalties!$O$16</f>
        <v>-0.14704486812734541</v>
      </c>
      <c r="H171" s="83">
        <f>MAX(Royalties!$O$13,MIN(0.4,F171+G171))</f>
        <v>8.0532287562073507E-2</v>
      </c>
      <c r="I171" s="70">
        <f t="shared" si="36"/>
        <v>0</v>
      </c>
      <c r="J171" s="70">
        <f t="shared" si="33"/>
        <v>6083.1930868204727</v>
      </c>
      <c r="K171" s="70">
        <f>SUM(J$12:J171)</f>
        <v>10208206.849196788</v>
      </c>
      <c r="L171" s="70">
        <f t="shared" si="34"/>
        <v>8.0532287562073507E-2</v>
      </c>
      <c r="M171" s="70">
        <f>MAX(0,J171-I171)*H171+MIN(I171,J171)*Royalties!$O$17</f>
        <v>489.8934549634439</v>
      </c>
      <c r="N171" s="70">
        <f t="shared" si="31"/>
        <v>5593.2996318570285</v>
      </c>
      <c r="O171" s="70">
        <f t="shared" si="35"/>
        <v>0</v>
      </c>
    </row>
    <row r="172" spans="1:15" x14ac:dyDescent="0.4">
      <c r="A172">
        <v>161</v>
      </c>
      <c r="B172" s="65">
        <f t="shared" si="30"/>
        <v>161</v>
      </c>
      <c r="C172" s="65">
        <f>VLOOKUP(B172,'Oil Production'!$A$13:$I$252,7,FALSE)</f>
        <v>81.506231107749045</v>
      </c>
      <c r="D172" s="70">
        <f t="shared" si="32"/>
        <v>71.619559629878623</v>
      </c>
      <c r="E172" s="65">
        <f>D172*Royalties!$T$6</f>
        <v>450.47342235560689</v>
      </c>
      <c r="F172" s="65">
        <f>MIN((E172&lt;=Royalties!$N$10)*Royalties!$P$9+(E172&gt;=Royalties!$N$10)*(E172&lt;=Royalties!$N$11)*((E172-Royalties!$N$10)*Royalties!$O$10+Royalties!$P$10)+(E172&gt;=Royalties!$N$11)*(E172&lt;=Royalties!$N$12)*((E172-Royalties!$N$11)*Royalties!$O$11+Royalties!$P$11)+(E172&gt;Royalties!$N$12)*((E172-Royalties!$N$12)*Royalties!$O$12+Royalties!$P$12),Royalties!$O$14)</f>
        <v>0.22786683471868668</v>
      </c>
      <c r="G172" s="65">
        <f>(C172&lt;Royalties!$O$15)*(C172-Royalties!$O$15)*Royalties!$O$16</f>
        <v>-0.15186658800453881</v>
      </c>
      <c r="H172" s="83">
        <f>MAX(Royalties!$O$13,MIN(0.4,F172+G172))</f>
        <v>7.6000246714147873E-2</v>
      </c>
      <c r="I172" s="70">
        <f t="shared" si="36"/>
        <v>0</v>
      </c>
      <c r="J172" s="70">
        <f t="shared" si="33"/>
        <v>5837.4403790281003</v>
      </c>
      <c r="K172" s="70">
        <f>SUM(J$12:J172)</f>
        <v>10214044.289575815</v>
      </c>
      <c r="L172" s="70">
        <f t="shared" si="34"/>
        <v>7.6000246714147873E-2</v>
      </c>
      <c r="M172" s="70">
        <f>MAX(0,J172-I172)*H172+MIN(I172,J172)*Royalties!$O$17</f>
        <v>443.64690898526447</v>
      </c>
      <c r="N172" s="70">
        <f t="shared" si="31"/>
        <v>5393.7934700428359</v>
      </c>
      <c r="O172" s="70">
        <f t="shared" si="35"/>
        <v>0</v>
      </c>
    </row>
    <row r="173" spans="1:15" x14ac:dyDescent="0.4">
      <c r="A173">
        <v>162</v>
      </c>
      <c r="B173" s="65">
        <f t="shared" si="30"/>
        <v>162</v>
      </c>
      <c r="C173" s="65">
        <f>VLOOKUP(B173,'Oil Production'!$A$13:$I$252,7,FALSE)</f>
        <v>83.382067090220517</v>
      </c>
      <c r="D173" s="70">
        <f t="shared" si="32"/>
        <v>71.737845155415087</v>
      </c>
      <c r="E173" s="65">
        <f>D173*Royalties!$T$6</f>
        <v>451.21741583698139</v>
      </c>
      <c r="F173" s="65">
        <f>MIN((E173&lt;=Royalties!$N$10)*Royalties!$P$9+(E173&gt;=Royalties!$N$10)*(E173&lt;=Royalties!$N$11)*((E173-Royalties!$N$10)*Royalties!$O$10+Royalties!$P$10)+(E173&gt;=Royalties!$N$11)*(E173&lt;=Royalties!$N$12)*((E173-Royalties!$N$11)*Royalties!$O$11+Royalties!$P$11)+(E173&gt;Royalties!$N$12)*((E173-Royalties!$N$12)*Royalties!$O$12+Royalties!$P$12),Royalties!$O$14)</f>
        <v>0.22815699217642274</v>
      </c>
      <c r="G173" s="65">
        <f>(C173&lt;Royalties!$O$15)*(C173-Royalties!$O$15)*Royalties!$O$16</f>
        <v>-0.1493342094282023</v>
      </c>
      <c r="H173" s="83">
        <f>MAX(Royalties!$O$13,MIN(0.4,F173+G173))</f>
        <v>7.8822782748220438E-2</v>
      </c>
      <c r="I173" s="70">
        <f t="shared" si="36"/>
        <v>0</v>
      </c>
      <c r="J173" s="70">
        <f t="shared" si="33"/>
        <v>5981.649817656672</v>
      </c>
      <c r="K173" s="70">
        <f>SUM(J$12:J173)</f>
        <v>10220025.939393472</v>
      </c>
      <c r="L173" s="70">
        <f t="shared" si="34"/>
        <v>7.8822782748220438E-2</v>
      </c>
      <c r="M173" s="70">
        <f>MAX(0,J173-I173)*H173+MIN(I173,J173)*Royalties!$O$17</f>
        <v>471.49028405308428</v>
      </c>
      <c r="N173" s="70">
        <f t="shared" si="31"/>
        <v>5510.159533603588</v>
      </c>
      <c r="O173" s="70">
        <f t="shared" si="35"/>
        <v>0</v>
      </c>
    </row>
    <row r="174" spans="1:15" x14ac:dyDescent="0.4">
      <c r="A174">
        <v>163</v>
      </c>
      <c r="B174" s="65">
        <f t="shared" si="30"/>
        <v>163</v>
      </c>
      <c r="C174" s="65">
        <f>VLOOKUP(B174,'Oil Production'!$A$13:$I$252,7,FALSE)</f>
        <v>82.540890634612879</v>
      </c>
      <c r="D174" s="70">
        <f t="shared" si="32"/>
        <v>71.856326039113824</v>
      </c>
      <c r="E174" s="65">
        <f>D174*Royalties!$T$6</f>
        <v>451.96263808407855</v>
      </c>
      <c r="F174" s="65">
        <f>MIN((E174&lt;=Royalties!$N$10)*Royalties!$P$9+(E174&gt;=Royalties!$N$10)*(E174&lt;=Royalties!$N$11)*((E174-Royalties!$N$10)*Royalties!$O$10+Royalties!$P$10)+(E174&gt;=Royalties!$N$11)*(E174&lt;=Royalties!$N$12)*((E174-Royalties!$N$11)*Royalties!$O$11+Royalties!$P$11)+(E174&gt;Royalties!$N$12)*((E174-Royalties!$N$12)*Royalties!$O$12+Royalties!$P$12),Royalties!$O$14)</f>
        <v>0.22844762885279063</v>
      </c>
      <c r="G174" s="65">
        <f>(C174&lt;Royalties!$O$15)*(C174-Royalties!$O$15)*Royalties!$O$16</f>
        <v>-0.15046979764327262</v>
      </c>
      <c r="H174" s="83">
        <f>MAX(Royalties!$O$13,MIN(0.4,F174+G174))</f>
        <v>7.7977831209518012E-2</v>
      </c>
      <c r="I174" s="70">
        <f t="shared" si="36"/>
        <v>0</v>
      </c>
      <c r="J174" s="70">
        <f t="shared" si="33"/>
        <v>5931.0851489995794</v>
      </c>
      <c r="K174" s="70">
        <f>SUM(J$12:J174)</f>
        <v>10225957.024542471</v>
      </c>
      <c r="L174" s="70">
        <f t="shared" si="34"/>
        <v>7.7977831209518012E-2</v>
      </c>
      <c r="M174" s="70">
        <f>MAX(0,J174-I174)*H174+MIN(I174,J174)*Royalties!$O$17</f>
        <v>462.49315663796818</v>
      </c>
      <c r="N174" s="70">
        <f t="shared" si="31"/>
        <v>5468.5919923616111</v>
      </c>
      <c r="O174" s="70">
        <f t="shared" si="35"/>
        <v>0</v>
      </c>
    </row>
    <row r="175" spans="1:15" x14ac:dyDescent="0.4">
      <c r="A175">
        <v>164</v>
      </c>
      <c r="B175" s="65">
        <f t="shared" si="30"/>
        <v>164</v>
      </c>
      <c r="C175" s="65">
        <f>VLOOKUP(B175,'Oil Production'!$A$13:$I$252,7,FALSE)</f>
        <v>79.090083197283093</v>
      </c>
      <c r="D175" s="70">
        <f t="shared" si="32"/>
        <v>71.975002603624702</v>
      </c>
      <c r="E175" s="65">
        <f>D175*Royalties!$T$6</f>
        <v>452.70909112630471</v>
      </c>
      <c r="F175" s="65">
        <f>MIN((E175&lt;=Royalties!$N$10)*Royalties!$P$9+(E175&gt;=Royalties!$N$10)*(E175&lt;=Royalties!$N$11)*((E175-Royalties!$N$10)*Royalties!$O$10+Royalties!$P$10)+(E175&gt;=Royalties!$N$11)*(E175&lt;=Royalties!$N$12)*((E175-Royalties!$N$11)*Royalties!$O$11+Royalties!$P$11)+(E175&gt;Royalties!$N$12)*((E175-Royalties!$N$12)*Royalties!$O$12+Royalties!$P$12),Royalties!$O$14)</f>
        <v>0.22873874553925885</v>
      </c>
      <c r="G175" s="65">
        <f>(C175&lt;Royalties!$O$15)*(C175-Royalties!$O$15)*Royalties!$O$16</f>
        <v>-0.15512838768366782</v>
      </c>
      <c r="H175" s="83">
        <f>MAX(Royalties!$O$13,MIN(0.4,F175+G175))</f>
        <v>7.361035785559103E-2</v>
      </c>
      <c r="I175" s="70">
        <f t="shared" si="36"/>
        <v>0</v>
      </c>
      <c r="J175" s="70">
        <f t="shared" si="33"/>
        <v>5692.5089440453448</v>
      </c>
      <c r="K175" s="70">
        <f>SUM(J$12:J175)</f>
        <v>10231649.533486517</v>
      </c>
      <c r="L175" s="70">
        <f t="shared" si="34"/>
        <v>7.361035785559103E-2</v>
      </c>
      <c r="M175" s="70">
        <f>MAX(0,J175-I175)*H175+MIN(I175,J175)*Royalties!$O$17</f>
        <v>419.02762046733045</v>
      </c>
      <c r="N175" s="70">
        <f t="shared" si="31"/>
        <v>5273.4813235780148</v>
      </c>
      <c r="O175" s="70">
        <f t="shared" si="35"/>
        <v>0</v>
      </c>
    </row>
    <row r="176" spans="1:15" x14ac:dyDescent="0.4">
      <c r="A176">
        <v>165</v>
      </c>
      <c r="B176" s="65">
        <f t="shared" si="30"/>
        <v>165</v>
      </c>
      <c r="C176" s="65">
        <f>VLOOKUP(B176,'Oil Production'!$A$13:$I$252,7,FALSE)</f>
        <v>80.924799913278548</v>
      </c>
      <c r="D176" s="70">
        <f t="shared" si="32"/>
        <v>72.09387517213051</v>
      </c>
      <c r="E176" s="65">
        <f>D176*Royalties!$T$6</f>
        <v>453.45677699641823</v>
      </c>
      <c r="F176" s="65">
        <f>MIN((E176&lt;=Royalties!$N$10)*Royalties!$P$9+(E176&gt;=Royalties!$N$10)*(E176&lt;=Royalties!$N$11)*((E176-Royalties!$N$10)*Royalties!$O$10+Royalties!$P$10)+(E176&gt;=Royalties!$N$11)*(E176&lt;=Royalties!$N$12)*((E176-Royalties!$N$11)*Royalties!$O$11+Royalties!$P$11)+(E176&gt;Royalties!$N$12)*((E176-Royalties!$N$12)*Royalties!$O$12+Royalties!$P$12),Royalties!$O$14)</f>
        <v>0.22903034302860312</v>
      </c>
      <c r="G176" s="65">
        <f>(C176&lt;Royalties!$O$15)*(C176-Royalties!$O$15)*Royalties!$O$16</f>
        <v>-0.15265152011707397</v>
      </c>
      <c r="H176" s="83">
        <f>MAX(Royalties!$O$13,MIN(0.4,F176+G176))</f>
        <v>7.6378822911529143E-2</v>
      </c>
      <c r="I176" s="70">
        <f t="shared" si="36"/>
        <v>0</v>
      </c>
      <c r="J176" s="70">
        <f t="shared" si="33"/>
        <v>5834.1824232775416</v>
      </c>
      <c r="K176" s="70">
        <f>SUM(J$12:J176)</f>
        <v>10237483.715909794</v>
      </c>
      <c r="L176" s="70">
        <f t="shared" si="34"/>
        <v>7.6378822911529143E-2</v>
      </c>
      <c r="M176" s="70">
        <f>MAX(0,J176-I176)*H176+MIN(I176,J176)*Royalties!$O$17</f>
        <v>445.60798614107131</v>
      </c>
      <c r="N176" s="70">
        <f t="shared" si="31"/>
        <v>5388.5744371364699</v>
      </c>
      <c r="O176" s="70">
        <f t="shared" si="35"/>
        <v>0</v>
      </c>
    </row>
    <row r="177" spans="1:15" x14ac:dyDescent="0.4">
      <c r="A177">
        <v>166</v>
      </c>
      <c r="B177" s="65">
        <f t="shared" si="30"/>
        <v>166</v>
      </c>
      <c r="C177" s="65">
        <f>VLOOKUP(B177,'Oil Production'!$A$13:$I$252,7,FALSE)</f>
        <v>77.550600031652721</v>
      </c>
      <c r="D177" s="70">
        <f t="shared" si="32"/>
        <v>72.212944068347767</v>
      </c>
      <c r="E177" s="65">
        <f>D177*Royalties!$T$6</f>
        <v>454.2056977305345</v>
      </c>
      <c r="F177" s="65">
        <f>MIN((E177&lt;=Royalties!$N$10)*Royalties!$P$9+(E177&gt;=Royalties!$N$10)*(E177&lt;=Royalties!$N$11)*((E177-Royalties!$N$10)*Royalties!$O$10+Royalties!$P$10)+(E177&gt;=Royalties!$N$11)*(E177&lt;=Royalties!$N$12)*((E177-Royalties!$N$11)*Royalties!$O$11+Royalties!$P$11)+(E177&gt;Royalties!$N$12)*((E177-Royalties!$N$12)*Royalties!$O$12+Royalties!$P$12),Royalties!$O$14)</f>
        <v>0.22932242211490847</v>
      </c>
      <c r="G177" s="65">
        <f>(C177&lt;Royalties!$O$15)*(C177-Royalties!$O$15)*Royalties!$O$16</f>
        <v>-0.15720668995726883</v>
      </c>
      <c r="H177" s="83">
        <f>MAX(Royalties!$O$13,MIN(0.4,F177+G177))</f>
        <v>7.2115732157639639E-2</v>
      </c>
      <c r="I177" s="70">
        <f t="shared" si="36"/>
        <v>0</v>
      </c>
      <c r="J177" s="70">
        <f t="shared" si="33"/>
        <v>5600.1571425525462</v>
      </c>
      <c r="K177" s="70">
        <f>SUM(J$12:J177)</f>
        <v>10243083.873052346</v>
      </c>
      <c r="L177" s="70">
        <f t="shared" si="34"/>
        <v>7.2115732157639639E-2</v>
      </c>
      <c r="M177" s="70">
        <f>MAX(0,J177-I177)*H177+MIN(I177,J177)*Royalties!$O$17</f>
        <v>403.85943253301195</v>
      </c>
      <c r="N177" s="70">
        <f t="shared" si="31"/>
        <v>5196.297710019534</v>
      </c>
      <c r="O177" s="70">
        <f t="shared" si="35"/>
        <v>0</v>
      </c>
    </row>
    <row r="178" spans="1:15" x14ac:dyDescent="0.4">
      <c r="A178">
        <v>167</v>
      </c>
      <c r="B178" s="65">
        <f t="shared" si="30"/>
        <v>167</v>
      </c>
      <c r="C178" s="65">
        <f>VLOOKUP(B178,'Oil Production'!$A$13:$I$252,7,FALSE)</f>
        <v>79.358748137048678</v>
      </c>
      <c r="D178" s="70">
        <f t="shared" si="32"/>
        <v>72.332209616527663</v>
      </c>
      <c r="E178" s="65">
        <f>D178*Royalties!$T$6</f>
        <v>454.95585536813189</v>
      </c>
      <c r="F178" s="65">
        <f>MIN((E178&lt;=Royalties!$N$10)*Royalties!$P$9+(E178&gt;=Royalties!$N$10)*(E178&lt;=Royalties!$N$11)*((E178-Royalties!$N$10)*Royalties!$O$10+Royalties!$P$10)+(E178&gt;=Royalties!$N$11)*(E178&lt;=Royalties!$N$12)*((E178-Royalties!$N$11)*Royalties!$O$11+Royalties!$P$11)+(E178&gt;Royalties!$N$12)*((E178-Royalties!$N$12)*Royalties!$O$12+Royalties!$P$12),Royalties!$O$14)</f>
        <v>0.22961498359357144</v>
      </c>
      <c r="G178" s="65">
        <f>(C178&lt;Royalties!$O$15)*(C178-Royalties!$O$15)*Royalties!$O$16</f>
        <v>-0.1547656900149843</v>
      </c>
      <c r="H178" s="83">
        <f>MAX(Royalties!$O$13,MIN(0.4,F178+G178))</f>
        <v>7.4849293578587134E-2</v>
      </c>
      <c r="I178" s="70">
        <f t="shared" si="36"/>
        <v>0</v>
      </c>
      <c r="J178" s="70">
        <f t="shared" si="33"/>
        <v>5740.1936051542289</v>
      </c>
      <c r="K178" s="70">
        <f>SUM(J$12:J178)</f>
        <v>10248824.0666575</v>
      </c>
      <c r="L178" s="70">
        <f t="shared" si="34"/>
        <v>7.4849293578587134E-2</v>
      </c>
      <c r="M178" s="70">
        <f>MAX(0,J178-I178)*H178+MIN(I178,J178)*Royalties!$O$17</f>
        <v>429.64943635011736</v>
      </c>
      <c r="N178" s="70">
        <f t="shared" si="31"/>
        <v>5310.5441688041119</v>
      </c>
      <c r="O178" s="70">
        <f t="shared" si="35"/>
        <v>0</v>
      </c>
    </row>
    <row r="179" spans="1:15" x14ac:dyDescent="0.4">
      <c r="A179">
        <v>168</v>
      </c>
      <c r="B179" s="65">
        <f t="shared" si="30"/>
        <v>168</v>
      </c>
      <c r="C179" s="65">
        <f>VLOOKUP(B179,'Oil Production'!$A$13:$I$252,7,FALSE)</f>
        <v>78.581382978241891</v>
      </c>
      <c r="D179" s="70">
        <f t="shared" si="32"/>
        <v>72.451672141456896</v>
      </c>
      <c r="E179" s="65">
        <f>D179*Royalties!$T$6</f>
        <v>455.70725195205699</v>
      </c>
      <c r="F179" s="65">
        <f>MIN((E179&lt;=Royalties!$N$10)*Royalties!$P$9+(E179&gt;=Royalties!$N$10)*(E179&lt;=Royalties!$N$11)*((E179-Royalties!$N$10)*Royalties!$O$10+Royalties!$P$10)+(E179&gt;=Royalties!$N$11)*(E179&lt;=Royalties!$N$12)*((E179-Royalties!$N$11)*Royalties!$O$11+Royalties!$P$11)+(E179&gt;Royalties!$N$12)*((E179-Royalties!$N$12)*Royalties!$O$12+Royalties!$P$12),Royalties!$O$14)</f>
        <v>0.22990802826130224</v>
      </c>
      <c r="G179" s="65">
        <f>(C179&lt;Royalties!$O$15)*(C179-Royalties!$O$15)*Royalties!$O$16</f>
        <v>-0.15581513297937347</v>
      </c>
      <c r="H179" s="83">
        <f>MAX(Royalties!$O$13,MIN(0.4,F179+G179))</f>
        <v>7.4092895281928778E-2</v>
      </c>
      <c r="I179" s="70">
        <f t="shared" si="36"/>
        <v>0</v>
      </c>
      <c r="J179" s="70">
        <f t="shared" si="33"/>
        <v>5693.3525959618428</v>
      </c>
      <c r="K179" s="70">
        <f>SUM(J$12:J179)</f>
        <v>10254517.419253463</v>
      </c>
      <c r="L179" s="70">
        <f t="shared" si="34"/>
        <v>7.4092895281928778E-2</v>
      </c>
      <c r="M179" s="70">
        <f>MAX(0,J179-I179)*H179+MIN(I179,J179)*Royalties!$O$17</f>
        <v>421.83697769569818</v>
      </c>
      <c r="N179" s="70">
        <f t="shared" si="31"/>
        <v>5271.5156182661449</v>
      </c>
      <c r="O179" s="70">
        <f t="shared" si="35"/>
        <v>0</v>
      </c>
    </row>
    <row r="180" spans="1:15" x14ac:dyDescent="0.4">
      <c r="A180">
        <v>169</v>
      </c>
      <c r="B180" s="65">
        <f t="shared" si="30"/>
        <v>169</v>
      </c>
      <c r="C180" s="65">
        <f>VLOOKUP(B180,'Oil Production'!$A$13:$I$252,7,FALSE)</f>
        <v>72.818595580523834</v>
      </c>
      <c r="D180" s="70">
        <f t="shared" si="32"/>
        <v>72.57133196845858</v>
      </c>
      <c r="E180" s="65">
        <f>D180*Royalties!$T$6</f>
        <v>456.45988952853048</v>
      </c>
      <c r="F180" s="65">
        <f>MIN((E180&lt;=Royalties!$N$10)*Royalties!$P$9+(E180&gt;=Royalties!$N$10)*(E180&lt;=Royalties!$N$11)*((E180-Royalties!$N$10)*Royalties!$O$10+Royalties!$P$10)+(E180&gt;=Royalties!$N$11)*(E180&lt;=Royalties!$N$12)*((E180-Royalties!$N$11)*Royalties!$O$11+Royalties!$P$11)+(E180&gt;Royalties!$N$12)*((E180-Royalties!$N$12)*Royalties!$O$12+Royalties!$P$12),Royalties!$O$14)</f>
        <v>0.2302015569161269</v>
      </c>
      <c r="G180" s="65">
        <f>(C180&lt;Royalties!$O$15)*(C180-Royalties!$O$15)*Royalties!$O$16</f>
        <v>-0.16359489596629284</v>
      </c>
      <c r="H180" s="83">
        <f>MAX(Royalties!$O$13,MIN(0.4,F180+G180))</f>
        <v>6.6606660949834057E-2</v>
      </c>
      <c r="I180" s="70">
        <f t="shared" si="36"/>
        <v>0</v>
      </c>
      <c r="J180" s="70">
        <f t="shared" si="33"/>
        <v>5284.5424733511263</v>
      </c>
      <c r="K180" s="70">
        <f>SUM(J$12:J180)</f>
        <v>10259801.961726815</v>
      </c>
      <c r="L180" s="70">
        <f t="shared" si="34"/>
        <v>6.6606660949834057E-2</v>
      </c>
      <c r="M180" s="70">
        <f>MAX(0,J180-I180)*H180+MIN(I180,J180)*Royalties!$O$17</f>
        <v>351.98572879749594</v>
      </c>
      <c r="N180" s="70">
        <f t="shared" si="31"/>
        <v>4932.5567445536308</v>
      </c>
      <c r="O180" s="70">
        <f t="shared" si="35"/>
        <v>0</v>
      </c>
    </row>
    <row r="181" spans="1:15" x14ac:dyDescent="0.4">
      <c r="A181">
        <v>170</v>
      </c>
      <c r="B181" s="65">
        <f t="shared" si="30"/>
        <v>170</v>
      </c>
      <c r="C181" s="65">
        <f>VLOOKUP(B181,'Oil Production'!$A$13:$I$252,7,FALSE)</f>
        <v>77.110985445062397</v>
      </c>
      <c r="D181" s="70">
        <f t="shared" si="32"/>
        <v>72.691189423393126</v>
      </c>
      <c r="E181" s="65">
        <f>D181*Royalties!$T$6</f>
        <v>457.21377014715233</v>
      </c>
      <c r="F181" s="65">
        <f>MIN((E181&lt;=Royalties!$N$10)*Royalties!$P$9+(E181&gt;=Royalties!$N$10)*(E181&lt;=Royalties!$N$11)*((E181-Royalties!$N$10)*Royalties!$O$10+Royalties!$P$10)+(E181&gt;=Royalties!$N$11)*(E181&lt;=Royalties!$N$12)*((E181-Royalties!$N$11)*Royalties!$O$11+Royalties!$P$11)+(E181&gt;Royalties!$N$12)*((E181-Royalties!$N$12)*Royalties!$O$12+Royalties!$P$12),Royalties!$O$14)</f>
        <v>0.23049557035738941</v>
      </c>
      <c r="G181" s="65">
        <f>(C181&lt;Royalties!$O$15)*(C181-Royalties!$O$15)*Royalties!$O$16</f>
        <v>-0.15780016964916577</v>
      </c>
      <c r="H181" s="83">
        <f>MAX(Royalties!$O$13,MIN(0.4,F181+G181))</f>
        <v>7.269540070822364E-2</v>
      </c>
      <c r="I181" s="70">
        <f t="shared" si="36"/>
        <v>0</v>
      </c>
      <c r="J181" s="70">
        <f t="shared" si="33"/>
        <v>5605.289249611541</v>
      </c>
      <c r="K181" s="70">
        <f>SUM(J$12:J181)</f>
        <v>10265407.250976427</v>
      </c>
      <c r="L181" s="70">
        <f t="shared" si="34"/>
        <v>7.269540070822364E-2</v>
      </c>
      <c r="M181" s="70">
        <f>MAX(0,J181-I181)*H181+MIN(I181,J181)*Royalties!$O$17</f>
        <v>407.47874808600915</v>
      </c>
      <c r="N181" s="70">
        <f t="shared" si="31"/>
        <v>5197.8105015255314</v>
      </c>
      <c r="O181" s="70">
        <f t="shared" si="35"/>
        <v>0</v>
      </c>
    </row>
    <row r="182" spans="1:15" x14ac:dyDescent="0.4">
      <c r="A182">
        <v>171</v>
      </c>
      <c r="B182" s="65">
        <f t="shared" si="30"/>
        <v>171</v>
      </c>
      <c r="C182" s="65">
        <f>VLOOKUP(B182,'Oil Production'!$A$13:$I$252,7,FALSE)</f>
        <v>73.916423936694628</v>
      </c>
      <c r="D182" s="70">
        <f t="shared" si="32"/>
        <v>72.811244832659142</v>
      </c>
      <c r="E182" s="65">
        <f>D182*Royalties!$T$6</f>
        <v>457.96889586090782</v>
      </c>
      <c r="F182" s="65">
        <f>MIN((E182&lt;=Royalties!$N$10)*Royalties!$P$9+(E182&gt;=Royalties!$N$10)*(E182&lt;=Royalties!$N$11)*((E182-Royalties!$N$10)*Royalties!$O$10+Royalties!$P$10)+(E182&gt;=Royalties!$N$11)*(E182&lt;=Royalties!$N$12)*((E182-Royalties!$N$11)*Royalties!$O$11+Royalties!$P$11)+(E182&gt;Royalties!$N$12)*((E182-Royalties!$N$12)*Royalties!$O$12+Royalties!$P$12),Royalties!$O$14)</f>
        <v>0.23079006938575405</v>
      </c>
      <c r="G182" s="65">
        <f>(C182&lt;Royalties!$O$15)*(C182-Royalties!$O$15)*Royalties!$O$16</f>
        <v>-0.16211282768546226</v>
      </c>
      <c r="H182" s="83">
        <f>MAX(Royalties!$O$13,MIN(0.4,F182+G182))</f>
        <v>6.8677241700291797E-2</v>
      </c>
      <c r="I182" s="70">
        <f t="shared" si="36"/>
        <v>0</v>
      </c>
      <c r="J182" s="70">
        <f t="shared" si="33"/>
        <v>5381.9468404092995</v>
      </c>
      <c r="K182" s="70">
        <f>SUM(J$12:J182)</f>
        <v>10270789.197816836</v>
      </c>
      <c r="L182" s="70">
        <f t="shared" si="34"/>
        <v>6.8677241700291797E-2</v>
      </c>
      <c r="M182" s="70">
        <f>MAX(0,J182-I182)*H182+MIN(I182,J182)*Royalties!$O$17</f>
        <v>369.6172639769112</v>
      </c>
      <c r="N182" s="70">
        <f t="shared" si="31"/>
        <v>5012.3295764323884</v>
      </c>
      <c r="O182" s="70">
        <f t="shared" si="35"/>
        <v>0</v>
      </c>
    </row>
    <row r="183" spans="1:15" x14ac:dyDescent="0.4">
      <c r="A183">
        <v>172</v>
      </c>
      <c r="B183" s="65">
        <f t="shared" si="30"/>
        <v>172</v>
      </c>
      <c r="C183" s="65">
        <f>VLOOKUP(B183,'Oil Production'!$A$13:$I$252,7,FALSE)</f>
        <v>75.660698628198588</v>
      </c>
      <c r="D183" s="70">
        <f t="shared" si="32"/>
        <v>72.931498523194293</v>
      </c>
      <c r="E183" s="65">
        <f>D183*Royalties!$T$6</f>
        <v>458.72526872617271</v>
      </c>
      <c r="F183" s="65">
        <f>MIN((E183&lt;=Royalties!$N$10)*Royalties!$P$9+(E183&gt;=Royalties!$N$10)*(E183&lt;=Royalties!$N$11)*((E183-Royalties!$N$10)*Royalties!$O$10+Royalties!$P$10)+(E183&gt;=Royalties!$N$11)*(E183&lt;=Royalties!$N$12)*((E183-Royalties!$N$11)*Royalties!$O$11+Royalties!$P$11)+(E183&gt;Royalties!$N$12)*((E183-Royalties!$N$12)*Royalties!$O$12+Royalties!$P$12),Royalties!$O$14)</f>
        <v>0.23108505480320737</v>
      </c>
      <c r="G183" s="65">
        <f>(C183&lt;Royalties!$O$15)*(C183-Royalties!$O$15)*Royalties!$O$16</f>
        <v>-0.15975805685193192</v>
      </c>
      <c r="H183" s="83">
        <f>MAX(Royalties!$O$13,MIN(0.4,F183+G183))</f>
        <v>7.132699795127545E-2</v>
      </c>
      <c r="I183" s="70">
        <f t="shared" si="36"/>
        <v>0</v>
      </c>
      <c r="J183" s="70">
        <f t="shared" si="33"/>
        <v>5518.0481302663138</v>
      </c>
      <c r="K183" s="70">
        <f>SUM(J$12:J183)</f>
        <v>10276307.245947102</v>
      </c>
      <c r="L183" s="70">
        <f t="shared" si="34"/>
        <v>7.132699795127545E-2</v>
      </c>
      <c r="M183" s="70">
        <f>MAX(0,J183-I183)*H183+MIN(I183,J183)*Royalties!$O$17</f>
        <v>393.58580768254467</v>
      </c>
      <c r="N183" s="70">
        <f t="shared" si="31"/>
        <v>5124.4623225837695</v>
      </c>
      <c r="O183" s="70">
        <f t="shared" si="35"/>
        <v>0</v>
      </c>
    </row>
    <row r="184" spans="1:15" x14ac:dyDescent="0.4">
      <c r="A184">
        <v>173</v>
      </c>
      <c r="B184" s="65">
        <f t="shared" si="30"/>
        <v>173</v>
      </c>
      <c r="C184" s="65">
        <f>VLOOKUP(B184,'Oil Production'!$A$13:$I$252,7,FALSE)</f>
        <v>72.534020282619167</v>
      </c>
      <c r="D184" s="70">
        <f t="shared" si="32"/>
        <v>73.051950822476229</v>
      </c>
      <c r="E184" s="65">
        <f>D184*Royalties!$T$6</f>
        <v>459.48289080271923</v>
      </c>
      <c r="F184" s="65">
        <f>MIN((E184&lt;=Royalties!$N$10)*Royalties!$P$9+(E184&gt;=Royalties!$N$10)*(E184&lt;=Royalties!$N$11)*((E184-Royalties!$N$10)*Royalties!$O$10+Royalties!$P$10)+(E184&gt;=Royalties!$N$11)*(E184&lt;=Royalties!$N$12)*((E184-Royalties!$N$11)*Royalties!$O$11+Royalties!$P$11)+(E184&gt;Royalties!$N$12)*((E184-Royalties!$N$12)*Royalties!$O$12+Royalties!$P$12),Royalties!$O$14)</f>
        <v>0.2313805274130605</v>
      </c>
      <c r="G184" s="65">
        <f>(C184&lt;Royalties!$O$15)*(C184-Royalties!$O$15)*Royalties!$O$16</f>
        <v>-0.16397907261846414</v>
      </c>
      <c r="H184" s="83">
        <f>MAX(Royalties!$O$13,MIN(0.4,F184+G184))</f>
        <v>6.740145479459636E-2</v>
      </c>
      <c r="I184" s="70">
        <f t="shared" si="36"/>
        <v>0</v>
      </c>
      <c r="J184" s="70">
        <f t="shared" si="33"/>
        <v>5298.7516826423889</v>
      </c>
      <c r="K184" s="70">
        <f>SUM(J$12:J184)</f>
        <v>10281605.997629745</v>
      </c>
      <c r="L184" s="70">
        <f t="shared" si="34"/>
        <v>6.740145479459636E-2</v>
      </c>
      <c r="M184" s="70">
        <f>MAX(0,J184-I184)*H184+MIN(I184,J184)*Royalties!$O$17</f>
        <v>357.14357200541235</v>
      </c>
      <c r="N184" s="70">
        <f t="shared" si="31"/>
        <v>4941.6081106369766</v>
      </c>
      <c r="O184" s="70">
        <f t="shared" si="35"/>
        <v>0</v>
      </c>
    </row>
    <row r="185" spans="1:15" x14ac:dyDescent="0.4">
      <c r="A185">
        <v>174</v>
      </c>
      <c r="B185" s="65">
        <f t="shared" si="30"/>
        <v>174</v>
      </c>
      <c r="C185" s="65">
        <f>VLOOKUP(B185,'Oil Production'!$A$13:$I$252,7,FALSE)</f>
        <v>74.25356732236105</v>
      </c>
      <c r="D185" s="70">
        <f t="shared" si="32"/>
        <v>73.172602058523424</v>
      </c>
      <c r="E185" s="65">
        <f>D185*Royalties!$T$6</f>
        <v>460.24176415372125</v>
      </c>
      <c r="F185" s="65">
        <f>MIN((E185&lt;=Royalties!$N$10)*Royalties!$P$9+(E185&gt;=Royalties!$N$10)*(E185&lt;=Royalties!$N$11)*((E185-Royalties!$N$10)*Royalties!$O$10+Royalties!$P$10)+(E185&gt;=Royalties!$N$11)*(E185&lt;=Royalties!$N$12)*((E185-Royalties!$N$11)*Royalties!$O$11+Royalties!$P$11)+(E185&gt;Royalties!$N$12)*((E185-Royalties!$N$12)*Royalties!$O$12+Royalties!$P$12),Royalties!$O$14)</f>
        <v>0.2316764880199513</v>
      </c>
      <c r="G185" s="65">
        <f>(C185&lt;Royalties!$O$15)*(C185-Royalties!$O$15)*Royalties!$O$16</f>
        <v>-0.1616576841148126</v>
      </c>
      <c r="H185" s="83">
        <f>MAX(Royalties!$O$13,MIN(0.4,F185+G185))</f>
        <v>7.0018803905138705E-2</v>
      </c>
      <c r="I185" s="70">
        <f t="shared" si="36"/>
        <v>0</v>
      </c>
      <c r="J185" s="70">
        <f t="shared" si="33"/>
        <v>5433.3267331049037</v>
      </c>
      <c r="K185" s="70">
        <f>SUM(J$12:J185)</f>
        <v>10287039.32436285</v>
      </c>
      <c r="L185" s="70">
        <f t="shared" si="34"/>
        <v>7.0018803905138705E-2</v>
      </c>
      <c r="M185" s="70">
        <f>MAX(0,J185-I185)*H185+MIN(I185,J185)*Royalties!$O$17</f>
        <v>380.43503907782014</v>
      </c>
      <c r="N185" s="70">
        <f t="shared" si="31"/>
        <v>5052.8916940270838</v>
      </c>
      <c r="O185" s="70">
        <f t="shared" si="35"/>
        <v>0</v>
      </c>
    </row>
    <row r="186" spans="1:15" x14ac:dyDescent="0.4">
      <c r="A186">
        <v>175</v>
      </c>
      <c r="B186" s="65">
        <f t="shared" si="30"/>
        <v>175</v>
      </c>
      <c r="C186" s="65">
        <f>VLOOKUP(B186,'Oil Production'!$A$13:$I$252,7,FALSE)</f>
        <v>73.55444323606207</v>
      </c>
      <c r="D186" s="70">
        <f t="shared" si="32"/>
        <v>73.293452559896124</v>
      </c>
      <c r="E186" s="65">
        <f>D186*Royalties!$T$6</f>
        <v>461.00189084576027</v>
      </c>
      <c r="F186" s="65">
        <f>MIN((E186&lt;=Royalties!$N$10)*Royalties!$P$9+(E186&gt;=Royalties!$N$10)*(E186&lt;=Royalties!$N$11)*((E186-Royalties!$N$10)*Royalties!$O$10+Royalties!$P$10)+(E186&gt;=Royalties!$N$11)*(E186&lt;=Royalties!$N$12)*((E186-Royalties!$N$11)*Royalties!$O$11+Royalties!$P$11)+(E186&gt;Royalties!$N$12)*((E186-Royalties!$N$12)*Royalties!$O$12+Royalties!$P$12),Royalties!$O$14)</f>
        <v>0.23197293742984651</v>
      </c>
      <c r="G186" s="65">
        <f>(C186&lt;Royalties!$O$15)*(C186-Royalties!$O$15)*Royalties!$O$16</f>
        <v>-0.1626015016313162</v>
      </c>
      <c r="H186" s="83">
        <f>MAX(Royalties!$O$13,MIN(0.4,F186+G186))</f>
        <v>6.9371435798530307E-2</v>
      </c>
      <c r="I186" s="70">
        <f t="shared" si="36"/>
        <v>0</v>
      </c>
      <c r="J186" s="70">
        <f t="shared" si="33"/>
        <v>5391.0590958918874</v>
      </c>
      <c r="K186" s="70">
        <f>SUM(J$12:J186)</f>
        <v>10292430.383458741</v>
      </c>
      <c r="L186" s="70">
        <f t="shared" si="34"/>
        <v>6.9371435798530307E-2</v>
      </c>
      <c r="M186" s="70">
        <f>MAX(0,J186-I186)*H186+MIN(I186,J186)*Royalties!$O$17</f>
        <v>373.98550995674691</v>
      </c>
      <c r="N186" s="70">
        <f t="shared" si="31"/>
        <v>5017.0735859351407</v>
      </c>
      <c r="O186" s="70">
        <f t="shared" si="35"/>
        <v>0</v>
      </c>
    </row>
    <row r="187" spans="1:15" x14ac:dyDescent="0.4">
      <c r="A187">
        <v>176</v>
      </c>
      <c r="B187" s="65">
        <f t="shared" si="30"/>
        <v>176</v>
      </c>
      <c r="C187" s="65">
        <f>VLOOKUP(B187,'Oil Production'!$A$13:$I$252,7,FALSE)</f>
        <v>70.525925980124157</v>
      </c>
      <c r="D187" s="70">
        <f t="shared" si="32"/>
        <v>73.41450265569722</v>
      </c>
      <c r="E187" s="65">
        <f>D187*Royalties!$T$6</f>
        <v>461.76327294883095</v>
      </c>
      <c r="F187" s="65">
        <f>MIN((E187&lt;=Royalties!$N$10)*Royalties!$P$9+(E187&gt;=Royalties!$N$10)*(E187&lt;=Royalties!$N$11)*((E187-Royalties!$N$10)*Royalties!$O$10+Royalties!$P$10)+(E187&gt;=Royalties!$N$11)*(E187&lt;=Royalties!$N$12)*((E187-Royalties!$N$11)*Royalties!$O$11+Royalties!$P$11)+(E187&gt;Royalties!$N$12)*((E187-Royalties!$N$12)*Royalties!$O$12+Royalties!$P$12),Royalties!$O$14)</f>
        <v>0.23226987645004407</v>
      </c>
      <c r="G187" s="65">
        <f>(C187&lt;Royalties!$O$15)*(C187-Royalties!$O$15)*Royalties!$O$16</f>
        <v>-0.16668999992683239</v>
      </c>
      <c r="H187" s="83">
        <f>MAX(Royalties!$O$13,MIN(0.4,F187+G187))</f>
        <v>6.5579876523211678E-2</v>
      </c>
      <c r="I187" s="70">
        <f t="shared" si="36"/>
        <v>0</v>
      </c>
      <c r="J187" s="70">
        <f t="shared" si="33"/>
        <v>5177.6257801633301</v>
      </c>
      <c r="K187" s="70">
        <f>SUM(J$12:J187)</f>
        <v>10297608.009238904</v>
      </c>
      <c r="L187" s="70">
        <f t="shared" si="34"/>
        <v>6.5579876523211678E-2</v>
      </c>
      <c r="M187" s="70">
        <f>MAX(0,J187-I187)*H187+MIN(I187,J187)*Royalties!$O$17</f>
        <v>339.54805934650869</v>
      </c>
      <c r="N187" s="70">
        <f t="shared" si="31"/>
        <v>4838.0777208168211</v>
      </c>
      <c r="O187" s="70">
        <f t="shared" si="35"/>
        <v>0</v>
      </c>
    </row>
    <row r="188" spans="1:15" x14ac:dyDescent="0.4">
      <c r="A188">
        <v>177</v>
      </c>
      <c r="B188" s="65">
        <f t="shared" si="30"/>
        <v>177</v>
      </c>
      <c r="C188" s="65">
        <f>VLOOKUP(B188,'Oil Production'!$A$13:$I$252,7,FALSE)</f>
        <v>72.209124791435897</v>
      </c>
      <c r="D188" s="70">
        <f t="shared" si="32"/>
        <v>73.535752675573136</v>
      </c>
      <c r="E188" s="65">
        <f>D188*Royalties!$T$6</f>
        <v>462.52591253634665</v>
      </c>
      <c r="F188" s="65">
        <f>MIN((E188&lt;=Royalties!$N$10)*Royalties!$P$9+(E188&gt;=Royalties!$N$10)*(E188&lt;=Royalties!$N$11)*((E188-Royalties!$N$10)*Royalties!$O$10+Royalties!$P$10)+(E188&gt;=Royalties!$N$11)*(E188&lt;=Royalties!$N$12)*((E188-Royalties!$N$11)*Royalties!$O$11+Royalties!$P$11)+(E188&gt;Royalties!$N$12)*((E188-Royalties!$N$12)*Royalties!$O$12+Royalties!$P$12),Royalties!$O$14)</f>
        <v>0.23256730588917521</v>
      </c>
      <c r="G188" s="65">
        <f>(C188&lt;Royalties!$O$15)*(C188-Royalties!$O$15)*Royalties!$O$16</f>
        <v>-0.16441768153156155</v>
      </c>
      <c r="H188" s="83">
        <f>MAX(Royalties!$O$13,MIN(0.4,F188+G188))</f>
        <v>6.8149624357613653E-2</v>
      </c>
      <c r="I188" s="70">
        <f t="shared" si="36"/>
        <v>0</v>
      </c>
      <c r="J188" s="70">
        <f t="shared" si="33"/>
        <v>5309.952341582627</v>
      </c>
      <c r="K188" s="70">
        <f>SUM(J$12:J188)</f>
        <v>10302917.961580487</v>
      </c>
      <c r="L188" s="70">
        <f t="shared" si="34"/>
        <v>6.8149624357613653E-2</v>
      </c>
      <c r="M188" s="70">
        <f>MAX(0,J188-I188)*H188+MIN(I188,J188)*Royalties!$O$17</f>
        <v>361.87125743568703</v>
      </c>
      <c r="N188" s="70">
        <f t="shared" si="31"/>
        <v>4948.0810841469402</v>
      </c>
      <c r="O188" s="70">
        <f t="shared" si="35"/>
        <v>0</v>
      </c>
    </row>
    <row r="189" spans="1:15" x14ac:dyDescent="0.4">
      <c r="A189">
        <v>178</v>
      </c>
      <c r="B189" s="65">
        <f t="shared" si="30"/>
        <v>178</v>
      </c>
      <c r="C189" s="65">
        <f>VLOOKUP(B189,'Oil Production'!$A$13:$I$252,7,FALSE)</f>
        <v>69.24303915942437</v>
      </c>
      <c r="D189" s="70">
        <f t="shared" si="32"/>
        <v>73.657202949714744</v>
      </c>
      <c r="E189" s="65">
        <f>D189*Royalties!$T$6</f>
        <v>463.28981168514531</v>
      </c>
      <c r="F189" s="65">
        <f>MIN((E189&lt;=Royalties!$N$10)*Royalties!$P$9+(E189&gt;=Royalties!$N$10)*(E189&lt;=Royalties!$N$11)*((E189-Royalties!$N$10)*Royalties!$O$10+Royalties!$P$10)+(E189&gt;=Royalties!$N$11)*(E189&lt;=Royalties!$N$12)*((E189-Royalties!$N$11)*Royalties!$O$11+Royalties!$P$11)+(E189&gt;Royalties!$N$12)*((E189-Royalties!$N$12)*Royalties!$O$12+Royalties!$P$12),Royalties!$O$14)</f>
        <v>0.23286522655720668</v>
      </c>
      <c r="G189" s="65">
        <f>(C189&lt;Royalties!$O$15)*(C189-Royalties!$O$15)*Royalties!$O$16</f>
        <v>-0.16842189713477712</v>
      </c>
      <c r="H189" s="83">
        <f>MAX(Royalties!$O$13,MIN(0.4,F189+G189))</f>
        <v>6.4443329422429557E-2</v>
      </c>
      <c r="I189" s="70">
        <f t="shared" si="36"/>
        <v>0</v>
      </c>
      <c r="J189" s="70">
        <f t="shared" si="33"/>
        <v>5100.2485882207666</v>
      </c>
      <c r="K189" s="70">
        <f>SUM(J$12:J189)</f>
        <v>10308018.210168708</v>
      </c>
      <c r="L189" s="70">
        <f t="shared" si="34"/>
        <v>6.4443329422429557E-2</v>
      </c>
      <c r="M189" s="70">
        <f>MAX(0,J189-I189)*H189+MIN(I189,J189)*Royalties!$O$17</f>
        <v>328.67699990699214</v>
      </c>
      <c r="N189" s="70">
        <f t="shared" si="31"/>
        <v>4771.5715883137746</v>
      </c>
      <c r="O189" s="70">
        <f t="shared" si="35"/>
        <v>0</v>
      </c>
    </row>
    <row r="190" spans="1:15" x14ac:dyDescent="0.4">
      <c r="A190">
        <v>179</v>
      </c>
      <c r="B190" s="65">
        <f t="shared" si="30"/>
        <v>179</v>
      </c>
      <c r="C190" s="65">
        <f>VLOOKUP(B190,'Oil Production'!$A$13:$I$252,7,FALSE)</f>
        <v>70.902748459455324</v>
      </c>
      <c r="D190" s="70">
        <f t="shared" si="32"/>
        <v>73.77885380885823</v>
      </c>
      <c r="E190" s="65">
        <f>D190*Royalties!$T$6</f>
        <v>464.05497247549459</v>
      </c>
      <c r="F190" s="65">
        <f>MIN((E190&lt;=Royalties!$N$10)*Royalties!$P$9+(E190&gt;=Royalties!$N$10)*(E190&lt;=Royalties!$N$11)*((E190-Royalties!$N$10)*Royalties!$O$10+Royalties!$P$10)+(E190&gt;=Royalties!$N$11)*(E190&lt;=Royalties!$N$12)*((E190-Royalties!$N$11)*Royalties!$O$11+Royalties!$P$11)+(E190&gt;Royalties!$N$12)*((E190-Royalties!$N$12)*Royalties!$O$12+Royalties!$P$12),Royalties!$O$14)</f>
        <v>0.2331636392654429</v>
      </c>
      <c r="G190" s="65">
        <f>(C190&lt;Royalties!$O$15)*(C190-Royalties!$O$15)*Royalties!$O$16</f>
        <v>-0.16618128957973533</v>
      </c>
      <c r="H190" s="83">
        <f>MAX(Royalties!$O$13,MIN(0.4,F190+G190))</f>
        <v>6.6982349685707571E-2</v>
      </c>
      <c r="I190" s="70">
        <f t="shared" si="36"/>
        <v>0</v>
      </c>
      <c r="J190" s="70">
        <f t="shared" si="33"/>
        <v>5231.1235132364027</v>
      </c>
      <c r="K190" s="70">
        <f>SUM(J$12:J190)</f>
        <v>10313249.333681945</v>
      </c>
      <c r="L190" s="70">
        <f t="shared" si="34"/>
        <v>6.6982349685707571E-2</v>
      </c>
      <c r="M190" s="70">
        <f>MAX(0,J190-I190)*H190+MIN(I190,J190)*Royalties!$O$17</f>
        <v>350.39294441272784</v>
      </c>
      <c r="N190" s="70">
        <f t="shared" si="31"/>
        <v>4880.7305688236747</v>
      </c>
      <c r="O190" s="70">
        <f t="shared" si="35"/>
        <v>0</v>
      </c>
    </row>
    <row r="191" spans="1:15" x14ac:dyDescent="0.4">
      <c r="A191">
        <v>180</v>
      </c>
      <c r="B191" s="65">
        <f t="shared" si="30"/>
        <v>180</v>
      </c>
      <c r="C191" s="65">
        <f>VLOOKUP(B191,'Oil Production'!$A$13:$I$252,7,FALSE)</f>
        <v>70.253281762445113</v>
      </c>
      <c r="D191" s="70">
        <f t="shared" si="32"/>
        <v>73.900705584286044</v>
      </c>
      <c r="E191" s="65">
        <f>D191*Royalties!$T$6</f>
        <v>464.8213969910982</v>
      </c>
      <c r="F191" s="65">
        <f>MIN((E191&lt;=Royalties!$N$10)*Royalties!$P$9+(E191&gt;=Royalties!$N$10)*(E191&lt;=Royalties!$N$11)*((E191-Royalties!$N$10)*Royalties!$O$10+Royalties!$P$10)+(E191&gt;=Royalties!$N$11)*(E191&lt;=Royalties!$N$12)*((E191-Royalties!$N$11)*Royalties!$O$11+Royalties!$P$11)+(E191&gt;Royalties!$N$12)*((E191-Royalties!$N$12)*Royalties!$O$12+Royalties!$P$12),Royalties!$O$14)</f>
        <v>0.23346254482652831</v>
      </c>
      <c r="G191" s="65">
        <f>(C191&lt;Royalties!$O$15)*(C191-Royalties!$O$15)*Royalties!$O$16</f>
        <v>-0.16705806962069911</v>
      </c>
      <c r="H191" s="83">
        <f>MAX(Royalties!$O$13,MIN(0.4,F191+G191))</f>
        <v>6.6404475205829205E-2</v>
      </c>
      <c r="I191" s="70">
        <f t="shared" si="36"/>
        <v>0</v>
      </c>
      <c r="J191" s="70">
        <f t="shared" si="33"/>
        <v>5191.7670918563481</v>
      </c>
      <c r="K191" s="70">
        <f>SUM(J$12:J191)</f>
        <v>10318441.100773802</v>
      </c>
      <c r="L191" s="70">
        <f t="shared" si="34"/>
        <v>6.6404475205829205E-2</v>
      </c>
      <c r="M191" s="70">
        <f>MAX(0,J191-I191)*H191+MIN(I191,J191)*Royalties!$O$17</f>
        <v>344.75656912561487</v>
      </c>
      <c r="N191" s="70">
        <f t="shared" si="31"/>
        <v>4847.0105227307331</v>
      </c>
      <c r="O191" s="70">
        <f t="shared" si="35"/>
        <v>0</v>
      </c>
    </row>
    <row r="192" spans="1:15" x14ac:dyDescent="0.4">
      <c r="A192">
        <v>181</v>
      </c>
      <c r="B192" s="65">
        <f t="shared" si="30"/>
        <v>181</v>
      </c>
      <c r="C192" s="65">
        <f>VLOOKUP(B192,'Oil Production'!$A$13:$I$252,7,FALSE)</f>
        <v>62.904224622616312</v>
      </c>
      <c r="D192" s="70">
        <f t="shared" si="32"/>
        <v>74.022758607827768</v>
      </c>
      <c r="E192" s="65">
        <f>D192*Royalties!$T$6</f>
        <v>465.58908731910117</v>
      </c>
      <c r="F192" s="65">
        <f>MIN((E192&lt;=Royalties!$N$10)*Royalties!$P$9+(E192&gt;=Royalties!$N$10)*(E192&lt;=Royalties!$N$11)*((E192-Royalties!$N$10)*Royalties!$O$10+Royalties!$P$10)+(E192&gt;=Royalties!$N$11)*(E192&lt;=Royalties!$N$12)*((E192-Royalties!$N$11)*Royalties!$O$11+Royalties!$P$11)+(E192&gt;Royalties!$N$12)*((E192-Royalties!$N$12)*Royalties!$O$12+Royalties!$P$12),Royalties!$O$14)</f>
        <v>0.23376194405444947</v>
      </c>
      <c r="G192" s="65">
        <f>(C192&lt;Royalties!$O$15)*(C192-Royalties!$O$15)*Royalties!$O$16</f>
        <v>-0.176979296759468</v>
      </c>
      <c r="H192" s="83">
        <f>MAX(Royalties!$O$13,MIN(0.4,F192+G192))</f>
        <v>5.6782647294981475E-2</v>
      </c>
      <c r="I192" s="70">
        <f t="shared" si="36"/>
        <v>0</v>
      </c>
      <c r="J192" s="70">
        <f t="shared" si="33"/>
        <v>4656.3442346525026</v>
      </c>
      <c r="K192" s="70">
        <f>SUM(J$12:J192)</f>
        <v>10323097.445008455</v>
      </c>
      <c r="L192" s="70">
        <f t="shared" si="34"/>
        <v>5.6782647294981475E-2</v>
      </c>
      <c r="M192" s="70">
        <f>MAX(0,J192-I192)*H192+MIN(I192,J192)*Royalties!$O$17</f>
        <v>264.39955236029351</v>
      </c>
      <c r="N192" s="70">
        <f t="shared" si="31"/>
        <v>4391.9446822922091</v>
      </c>
      <c r="O192" s="70">
        <f t="shared" si="35"/>
        <v>0</v>
      </c>
    </row>
    <row r="193" spans="1:15" x14ac:dyDescent="0.4">
      <c r="A193">
        <v>182</v>
      </c>
      <c r="B193" s="65">
        <f t="shared" si="30"/>
        <v>182</v>
      </c>
      <c r="C193" s="65">
        <f>VLOOKUP(B193,'Oil Production'!$A$13:$I$252,7,FALSE)</f>
        <v>69.043196554412134</v>
      </c>
      <c r="D193" s="70">
        <f t="shared" si="32"/>
        <v>74.145013211861013</v>
      </c>
      <c r="E193" s="65">
        <f>D193*Royalties!$T$6</f>
        <v>466.35804555009554</v>
      </c>
      <c r="F193" s="65">
        <f>MIN((E193&lt;=Royalties!$N$10)*Royalties!$P$9+(E193&gt;=Royalties!$N$10)*(E193&lt;=Royalties!$N$11)*((E193-Royalties!$N$10)*Royalties!$O$10+Royalties!$P$10)+(E193&gt;=Royalties!$N$11)*(E193&lt;=Royalties!$N$12)*((E193-Royalties!$N$11)*Royalties!$O$11+Royalties!$P$11)+(E193&gt;Royalties!$N$12)*((E193-Royalties!$N$12)*Royalties!$O$12+Royalties!$P$12),Royalties!$O$14)</f>
        <v>0.23406183776453726</v>
      </c>
      <c r="G193" s="65">
        <f>(C193&lt;Royalties!$O$15)*(C193-Royalties!$O$15)*Royalties!$O$16</f>
        <v>-0.16869168465154363</v>
      </c>
      <c r="H193" s="83">
        <f>MAX(Royalties!$O$13,MIN(0.4,F193+G193))</f>
        <v>6.5370153112993629E-2</v>
      </c>
      <c r="I193" s="70">
        <f t="shared" si="36"/>
        <v>0</v>
      </c>
      <c r="J193" s="70">
        <f t="shared" si="33"/>
        <v>5119.2087207160048</v>
      </c>
      <c r="K193" s="70">
        <f>SUM(J$12:J193)</f>
        <v>10328216.653729171</v>
      </c>
      <c r="L193" s="70">
        <f t="shared" si="34"/>
        <v>6.5370153112993629E-2</v>
      </c>
      <c r="M193" s="70">
        <f>MAX(0,J193-I193)*H193+MIN(I193,J193)*Royalties!$O$17</f>
        <v>334.64345789057745</v>
      </c>
      <c r="N193" s="70">
        <f t="shared" si="31"/>
        <v>4784.5652628254275</v>
      </c>
      <c r="O193" s="70">
        <f t="shared" si="35"/>
        <v>0</v>
      </c>
    </row>
    <row r="194" spans="1:15" x14ac:dyDescent="0.4">
      <c r="A194">
        <v>183</v>
      </c>
      <c r="B194" s="65">
        <f t="shared" si="30"/>
        <v>183</v>
      </c>
      <c r="C194" s="65">
        <f>VLOOKUP(B194,'Oil Production'!$A$13:$I$252,7,FALSE)</f>
        <v>66.223201286135009</v>
      </c>
      <c r="D194" s="70">
        <f t="shared" si="32"/>
        <v>74.267469729312353</v>
      </c>
      <c r="E194" s="65">
        <f>D194*Royalties!$T$6</f>
        <v>467.12827377812613</v>
      </c>
      <c r="F194" s="65">
        <f>MIN((E194&lt;=Royalties!$N$10)*Royalties!$P$9+(E194&gt;=Royalties!$N$10)*(E194&lt;=Royalties!$N$11)*((E194-Royalties!$N$10)*Royalties!$O$10+Royalties!$P$10)+(E194&gt;=Royalties!$N$11)*(E194&lt;=Royalties!$N$12)*((E194-Royalties!$N$11)*Royalties!$O$11+Royalties!$P$11)+(E194&gt;Royalties!$N$12)*((E194-Royalties!$N$12)*Royalties!$O$12+Royalties!$P$12),Royalties!$O$14)</f>
        <v>0.23436222677346918</v>
      </c>
      <c r="G194" s="65">
        <f>(C194&lt;Royalties!$O$15)*(C194-Royalties!$O$15)*Royalties!$O$16</f>
        <v>-0.17249867826371776</v>
      </c>
      <c r="H194" s="83">
        <f>MAX(Royalties!$O$13,MIN(0.4,F194+G194))</f>
        <v>6.1863548509751426E-2</v>
      </c>
      <c r="I194" s="70">
        <f t="shared" si="36"/>
        <v>0</v>
      </c>
      <c r="J194" s="70">
        <f t="shared" si="33"/>
        <v>4918.2295968961907</v>
      </c>
      <c r="K194" s="70">
        <f>SUM(J$12:J194)</f>
        <v>10333134.883326067</v>
      </c>
      <c r="L194" s="70">
        <f t="shared" si="34"/>
        <v>6.1863548509751426E-2</v>
      </c>
      <c r="M194" s="70">
        <f>MAX(0,J194-I194)*H194+MIN(I194,J194)*Royalties!$O$17</f>
        <v>304.25913524968269</v>
      </c>
      <c r="N194" s="70">
        <f t="shared" si="31"/>
        <v>4613.9704616465078</v>
      </c>
      <c r="O194" s="70">
        <f t="shared" si="35"/>
        <v>0</v>
      </c>
    </row>
    <row r="195" spans="1:15" x14ac:dyDescent="0.4">
      <c r="A195">
        <v>184</v>
      </c>
      <c r="B195" s="65">
        <f t="shared" si="30"/>
        <v>184</v>
      </c>
      <c r="C195" s="65">
        <f>VLOOKUP(B195,'Oil Production'!$A$13:$I$252,7,FALSE)</f>
        <v>67.826782061776612</v>
      </c>
      <c r="D195" s="70">
        <f t="shared" si="32"/>
        <v>74.39012849365821</v>
      </c>
      <c r="E195" s="65">
        <f>D195*Royalties!$T$6</f>
        <v>467.89977410069633</v>
      </c>
      <c r="F195" s="65">
        <f>MIN((E195&lt;=Royalties!$N$10)*Royalties!$P$9+(E195&gt;=Royalties!$N$10)*(E195&lt;=Royalties!$N$11)*((E195-Royalties!$N$10)*Royalties!$O$10+Royalties!$P$10)+(E195&gt;=Royalties!$N$11)*(E195&lt;=Royalties!$N$12)*((E195-Royalties!$N$11)*Royalties!$O$11+Royalties!$P$11)+(E195&gt;Royalties!$N$12)*((E195-Royalties!$N$12)*Royalties!$O$12+Royalties!$P$12),Royalties!$O$14)</f>
        <v>0.23466311189927158</v>
      </c>
      <c r="G195" s="65">
        <f>(C195&lt;Royalties!$O$15)*(C195-Royalties!$O$15)*Royalties!$O$16</f>
        <v>-0.17033384421660158</v>
      </c>
      <c r="H195" s="83">
        <f>MAX(Royalties!$O$13,MIN(0.4,F195+G195))</f>
        <v>6.4329267682669999E-2</v>
      </c>
      <c r="I195" s="70">
        <f t="shared" si="36"/>
        <v>0</v>
      </c>
      <c r="J195" s="70">
        <f t="shared" si="33"/>
        <v>5045.6430328869137</v>
      </c>
      <c r="K195" s="70">
        <f>SUM(J$12:J195)</f>
        <v>10338180.526358953</v>
      </c>
      <c r="L195" s="70">
        <f t="shared" si="34"/>
        <v>6.4329267682669999E-2</v>
      </c>
      <c r="M195" s="70">
        <f>MAX(0,J195-I195)*H195+MIN(I195,J195)*Royalties!$O$17</f>
        <v>324.58252129378116</v>
      </c>
      <c r="N195" s="70">
        <f t="shared" si="31"/>
        <v>4721.0605115931321</v>
      </c>
      <c r="O195" s="70">
        <f t="shared" si="35"/>
        <v>0</v>
      </c>
    </row>
    <row r="196" spans="1:15" x14ac:dyDescent="0.4">
      <c r="A196">
        <v>185</v>
      </c>
      <c r="B196" s="65">
        <f t="shared" si="30"/>
        <v>185</v>
      </c>
      <c r="C196" s="65">
        <f>VLOOKUP(B196,'Oil Production'!$A$13:$I$252,7,FALSE)</f>
        <v>65.062604624545202</v>
      </c>
      <c r="D196" s="70">
        <f t="shared" si="32"/>
        <v>74.512989838925776</v>
      </c>
      <c r="E196" s="65">
        <f>D196*Royalties!$T$6</f>
        <v>468.67254861877376</v>
      </c>
      <c r="F196" s="65">
        <f>MIN((E196&lt;=Royalties!$N$10)*Royalties!$P$9+(E196&gt;=Royalties!$N$10)*(E196&lt;=Royalties!$N$11)*((E196-Royalties!$N$10)*Royalties!$O$10+Royalties!$P$10)+(E196&gt;=Royalties!$N$11)*(E196&lt;=Royalties!$N$12)*((E196-Royalties!$N$11)*Royalties!$O$11+Royalties!$P$11)+(E196&gt;Royalties!$N$12)*((E196-Royalties!$N$12)*Royalties!$O$12+Royalties!$P$12),Royalties!$O$14)</f>
        <v>0.23496449396132177</v>
      </c>
      <c r="G196" s="65">
        <f>(C196&lt;Royalties!$O$15)*(C196-Royalties!$O$15)*Royalties!$O$16</f>
        <v>-0.17406548375686398</v>
      </c>
      <c r="H196" s="83">
        <f>MAX(Royalties!$O$13,MIN(0.4,F196+G196))</f>
        <v>6.0899010204457787E-2</v>
      </c>
      <c r="I196" s="70">
        <f t="shared" si="36"/>
        <v>0</v>
      </c>
      <c r="J196" s="70">
        <f t="shared" si="33"/>
        <v>4848.0091972827822</v>
      </c>
      <c r="K196" s="70">
        <f>SUM(J$12:J196)</f>
        <v>10343028.535556236</v>
      </c>
      <c r="L196" s="70">
        <f t="shared" si="34"/>
        <v>6.0899010204457794E-2</v>
      </c>
      <c r="M196" s="70">
        <f>MAX(0,J196-I196)*H196+MIN(I196,J196)*Royalties!$O$17</f>
        <v>295.23896157662938</v>
      </c>
      <c r="N196" s="70">
        <f t="shared" si="31"/>
        <v>4552.7702357061526</v>
      </c>
      <c r="O196" s="70">
        <f t="shared" si="35"/>
        <v>0</v>
      </c>
    </row>
    <row r="197" spans="1:15" x14ac:dyDescent="0.4">
      <c r="A197">
        <v>186</v>
      </c>
      <c r="B197" s="65">
        <f t="shared" si="30"/>
        <v>186</v>
      </c>
      <c r="C197" s="65">
        <f>VLOOKUP(B197,'Oil Production'!$A$13:$I$252,7,FALSE)</f>
        <v>66.644298350351164</v>
      </c>
      <c r="D197" s="70">
        <f t="shared" si="32"/>
        <v>74.636054099693922</v>
      </c>
      <c r="E197" s="65">
        <f>D197*Royalties!$T$6</f>
        <v>469.44659943679585</v>
      </c>
      <c r="F197" s="65">
        <f>MIN((E197&lt;=Royalties!$N$10)*Royalties!$P$9+(E197&gt;=Royalties!$N$10)*(E197&lt;=Royalties!$N$11)*((E197-Royalties!$N$10)*Royalties!$O$10+Royalties!$P$10)+(E197&gt;=Royalties!$N$11)*(E197&lt;=Royalties!$N$12)*((E197-Royalties!$N$11)*Royalties!$O$11+Royalties!$P$11)+(E197&gt;Royalties!$N$12)*((E197-Royalties!$N$12)*Royalties!$O$12+Royalties!$P$12),Royalties!$O$14)</f>
        <v>0.2352663737803504</v>
      </c>
      <c r="G197" s="65">
        <f>(C197&lt;Royalties!$O$15)*(C197-Royalties!$O$15)*Royalties!$O$16</f>
        <v>-0.17193019722702593</v>
      </c>
      <c r="H197" s="83">
        <f>MAX(Royalties!$O$13,MIN(0.4,F197+G197))</f>
        <v>6.3336176553324464E-2</v>
      </c>
      <c r="I197" s="70">
        <f t="shared" si="36"/>
        <v>0</v>
      </c>
      <c r="J197" s="70">
        <f t="shared" si="33"/>
        <v>4974.0674571129521</v>
      </c>
      <c r="K197" s="70">
        <f>SUM(J$12:J197)</f>
        <v>10348002.60301335</v>
      </c>
      <c r="L197" s="70">
        <f t="shared" si="34"/>
        <v>6.3336176553324464E-2</v>
      </c>
      <c r="M197" s="70">
        <f>MAX(0,J197-I197)*H197+MIN(I197,J197)*Royalties!$O$17</f>
        <v>315.03841465185161</v>
      </c>
      <c r="N197" s="70">
        <f t="shared" si="31"/>
        <v>4659.0290424611003</v>
      </c>
      <c r="O197" s="70">
        <f t="shared" si="35"/>
        <v>0</v>
      </c>
    </row>
    <row r="198" spans="1:15" x14ac:dyDescent="0.4">
      <c r="A198">
        <v>187</v>
      </c>
      <c r="B198" s="65">
        <f t="shared" si="30"/>
        <v>187</v>
      </c>
      <c r="C198" s="65">
        <f>VLOOKUP(B198,'Oil Production'!$A$13:$I$252,7,FALSE)</f>
        <v>66.055952184455236</v>
      </c>
      <c r="D198" s="70">
        <f t="shared" si="32"/>
        <v>74.75932161109408</v>
      </c>
      <c r="E198" s="65">
        <f>D198*Royalties!$T$6</f>
        <v>470.22192866267568</v>
      </c>
      <c r="F198" s="65">
        <f>MIN((E198&lt;=Royalties!$N$10)*Royalties!$P$9+(E198&gt;=Royalties!$N$10)*(E198&lt;=Royalties!$N$11)*((E198-Royalties!$N$10)*Royalties!$O$10+Royalties!$P$10)+(E198&gt;=Royalties!$N$11)*(E198&lt;=Royalties!$N$12)*((E198-Royalties!$N$11)*Royalties!$O$11+Royalties!$P$11)+(E198&gt;Royalties!$N$12)*((E198-Royalties!$N$12)*Royalties!$O$12+Royalties!$P$12),Royalties!$O$14)</f>
        <v>0.23556875217844353</v>
      </c>
      <c r="G198" s="65">
        <f>(C198&lt;Royalties!$O$15)*(C198-Royalties!$O$15)*Royalties!$O$16</f>
        <v>-0.17272446455098545</v>
      </c>
      <c r="H198" s="83">
        <f>MAX(Royalties!$O$13,MIN(0.4,F198+G198))</f>
        <v>6.2844287627458084E-2</v>
      </c>
      <c r="I198" s="70">
        <f t="shared" si="36"/>
        <v>0</v>
      </c>
      <c r="J198" s="70">
        <f t="shared" si="33"/>
        <v>4938.2981736847414</v>
      </c>
      <c r="K198" s="70">
        <f>SUM(J$12:J198)</f>
        <v>10352940.901187034</v>
      </c>
      <c r="L198" s="70">
        <f t="shared" si="34"/>
        <v>6.2844287627458084E-2</v>
      </c>
      <c r="M198" s="70">
        <f>MAX(0,J198-I198)*H198+MIN(I198,J198)*Royalties!$O$17</f>
        <v>310.34383081719483</v>
      </c>
      <c r="N198" s="70">
        <f t="shared" si="31"/>
        <v>4627.954342867547</v>
      </c>
      <c r="O198" s="70">
        <f t="shared" si="35"/>
        <v>0</v>
      </c>
    </row>
    <row r="199" spans="1:15" x14ac:dyDescent="0.4">
      <c r="A199">
        <v>188</v>
      </c>
      <c r="B199" s="65">
        <f t="shared" si="30"/>
        <v>188</v>
      </c>
      <c r="C199" s="65">
        <f>VLOOKUP(B199,'Oil Production'!$A$13:$I$252,7,FALSE)</f>
        <v>63.372718620725209</v>
      </c>
      <c r="D199" s="70">
        <f t="shared" si="32"/>
        <v>74.882792708811209</v>
      </c>
      <c r="E199" s="65">
        <f>D199*Royalties!$T$6</f>
        <v>470.99853840780781</v>
      </c>
      <c r="F199" s="65">
        <f>MIN((E199&lt;=Royalties!$N$10)*Royalties!$P$9+(E199&gt;=Royalties!$N$10)*(E199&lt;=Royalties!$N$11)*((E199-Royalties!$N$10)*Royalties!$O$10+Royalties!$P$10)+(E199&gt;=Royalties!$N$11)*(E199&lt;=Royalties!$N$12)*((E199-Royalties!$N$11)*Royalties!$O$11+Royalties!$P$11)+(E199&gt;Royalties!$N$12)*((E199-Royalties!$N$12)*Royalties!$O$12+Royalties!$P$12),Royalties!$O$14)</f>
        <v>0.23587162997904504</v>
      </c>
      <c r="G199" s="65">
        <f>(C199&lt;Royalties!$O$15)*(C199-Royalties!$O$15)*Royalties!$O$16</f>
        <v>-0.17634682986202097</v>
      </c>
      <c r="H199" s="83">
        <f>MAX(Royalties!$O$13,MIN(0.4,F199+G199))</f>
        <v>5.9524800117024074E-2</v>
      </c>
      <c r="I199" s="70">
        <f t="shared" si="36"/>
        <v>0</v>
      </c>
      <c r="J199" s="70">
        <f t="shared" si="33"/>
        <v>4745.5261518695861</v>
      </c>
      <c r="K199" s="70">
        <f>SUM(J$12:J199)</f>
        <v>10357686.427338904</v>
      </c>
      <c r="L199" s="70">
        <f t="shared" si="34"/>
        <v>5.9524800117024081E-2</v>
      </c>
      <c r="M199" s="70">
        <f>MAX(0,J199-I199)*H199+MIN(I199,J199)*Royalties!$O$17</f>
        <v>282.47649564014756</v>
      </c>
      <c r="N199" s="70">
        <f t="shared" si="31"/>
        <v>4463.0496562294384</v>
      </c>
      <c r="O199" s="70">
        <f t="shared" si="35"/>
        <v>0</v>
      </c>
    </row>
    <row r="200" spans="1:15" x14ac:dyDescent="0.4">
      <c r="A200">
        <v>189</v>
      </c>
      <c r="B200" s="65">
        <f t="shared" si="30"/>
        <v>189</v>
      </c>
      <c r="C200" s="65">
        <f>VLOOKUP(B200,'Oil Production'!$A$13:$I$252,7,FALSE)</f>
        <v>64.922226637339918</v>
      </c>
      <c r="D200" s="70">
        <f t="shared" si="32"/>
        <v>75.006467729084648</v>
      </c>
      <c r="E200" s="65">
        <f>D200*Royalties!$T$6</f>
        <v>471.77643078707393</v>
      </c>
      <c r="F200" s="65">
        <f>MIN((E200&lt;=Royalties!$N$10)*Royalties!$P$9+(E200&gt;=Royalties!$N$10)*(E200&lt;=Royalties!$N$11)*((E200-Royalties!$N$10)*Royalties!$O$10+Royalties!$P$10)+(E200&gt;=Royalties!$N$11)*(E200&lt;=Royalties!$N$12)*((E200-Royalties!$N$11)*Royalties!$O$11+Royalties!$P$11)+(E200&gt;Royalties!$N$12)*((E200-Royalties!$N$12)*Royalties!$O$12+Royalties!$P$12),Royalties!$O$14)</f>
        <v>0.23617500800695884</v>
      </c>
      <c r="G200" s="65">
        <f>(C200&lt;Royalties!$O$15)*(C200-Royalties!$O$15)*Royalties!$O$16</f>
        <v>-0.17425499403959113</v>
      </c>
      <c r="H200" s="83">
        <f>MAX(Royalties!$O$13,MIN(0.4,F200+G200))</f>
        <v>6.192001396736771E-2</v>
      </c>
      <c r="I200" s="70">
        <f t="shared" si="36"/>
        <v>0</v>
      </c>
      <c r="J200" s="70">
        <f t="shared" si="33"/>
        <v>4869.5868971739565</v>
      </c>
      <c r="K200" s="70">
        <f>SUM(J$12:J200)</f>
        <v>10362556.014236078</v>
      </c>
      <c r="L200" s="70">
        <f t="shared" si="34"/>
        <v>6.192001396736771E-2</v>
      </c>
      <c r="M200" s="70">
        <f>MAX(0,J200-I200)*H200+MIN(I200,J200)*Royalties!$O$17</f>
        <v>301.52488868832216</v>
      </c>
      <c r="N200" s="70">
        <f t="shared" si="31"/>
        <v>4568.0620084856346</v>
      </c>
      <c r="O200" s="70">
        <f t="shared" si="35"/>
        <v>0</v>
      </c>
    </row>
    <row r="201" spans="1:15" x14ac:dyDescent="0.4">
      <c r="A201">
        <v>190</v>
      </c>
      <c r="B201" s="65">
        <f t="shared" si="30"/>
        <v>190</v>
      </c>
      <c r="C201" s="65">
        <f>VLOOKUP(B201,'Oil Production'!$A$13:$I$252,7,FALSE)</f>
        <v>62.290617735416163</v>
      </c>
      <c r="D201" s="70">
        <f t="shared" si="32"/>
        <v>75.13034700870908</v>
      </c>
      <c r="E201" s="65">
        <f>D201*Royalties!$T$6</f>
        <v>472.55560791884847</v>
      </c>
      <c r="F201" s="65">
        <f>MIN((E201&lt;=Royalties!$N$10)*Royalties!$P$9+(E201&gt;=Royalties!$N$10)*(E201&lt;=Royalties!$N$11)*((E201-Royalties!$N$10)*Royalties!$O$10+Royalties!$P$10)+(E201&gt;=Royalties!$N$11)*(E201&lt;=Royalties!$N$12)*((E201-Royalties!$N$11)*Royalties!$O$11+Royalties!$P$11)+(E201&gt;Royalties!$N$12)*((E201-Royalties!$N$12)*Royalties!$O$12+Royalties!$P$12),Royalties!$O$14)</f>
        <v>0.23647888708835091</v>
      </c>
      <c r="G201" s="65">
        <f>(C201&lt;Royalties!$O$15)*(C201-Royalties!$O$15)*Royalties!$O$16</f>
        <v>-0.1778076660571882</v>
      </c>
      <c r="H201" s="83">
        <f>MAX(Royalties!$O$13,MIN(0.4,F201+G201))</f>
        <v>5.8671221031162707E-2</v>
      </c>
      <c r="I201" s="70">
        <f t="shared" si="36"/>
        <v>0</v>
      </c>
      <c r="J201" s="70">
        <f t="shared" si="33"/>
        <v>4679.9157258486648</v>
      </c>
      <c r="K201" s="70">
        <f>SUM(J$12:J201)</f>
        <v>10367235.929961927</v>
      </c>
      <c r="L201" s="70">
        <f t="shared" si="34"/>
        <v>5.8671221031162707E-2</v>
      </c>
      <c r="M201" s="70">
        <f>MAX(0,J201-I201)*H201+MIN(I201,J201)*Royalties!$O$17</f>
        <v>274.57636995848128</v>
      </c>
      <c r="N201" s="70">
        <f t="shared" si="31"/>
        <v>4405.3393558901835</v>
      </c>
      <c r="O201" s="70">
        <f t="shared" si="35"/>
        <v>0</v>
      </c>
    </row>
    <row r="202" spans="1:15" x14ac:dyDescent="0.4">
      <c r="A202">
        <v>191</v>
      </c>
      <c r="B202" s="65">
        <f t="shared" si="30"/>
        <v>191</v>
      </c>
      <c r="C202" s="65">
        <f>VLOOKUP(B202,'Oil Production'!$A$13:$I$252,7,FALSE)</f>
        <v>63.819316852896009</v>
      </c>
      <c r="D202" s="70">
        <f t="shared" si="32"/>
        <v>75.254430885035447</v>
      </c>
      <c r="E202" s="65">
        <f>D202*Royalties!$T$6</f>
        <v>473.33607192500483</v>
      </c>
      <c r="F202" s="65">
        <f>MIN((E202&lt;=Royalties!$N$10)*Royalties!$P$9+(E202&gt;=Royalties!$N$10)*(E202&lt;=Royalties!$N$11)*((E202-Royalties!$N$10)*Royalties!$O$10+Royalties!$P$10)+(E202&gt;=Royalties!$N$11)*(E202&lt;=Royalties!$N$12)*((E202-Royalties!$N$11)*Royalties!$O$11+Royalties!$P$11)+(E202&gt;Royalties!$N$12)*((E202-Royalties!$N$12)*Royalties!$O$12+Royalties!$P$12),Royalties!$O$14)</f>
        <v>0.23678326805075189</v>
      </c>
      <c r="G202" s="65">
        <f>(C202&lt;Royalties!$O$15)*(C202-Royalties!$O$15)*Royalties!$O$16</f>
        <v>-0.1757439222485904</v>
      </c>
      <c r="H202" s="83">
        <f>MAX(Royalties!$O$13,MIN(0.4,F202+G202))</f>
        <v>6.1039345802161499E-2</v>
      </c>
      <c r="I202" s="70">
        <f t="shared" si="36"/>
        <v>0</v>
      </c>
      <c r="J202" s="70">
        <f t="shared" si="33"/>
        <v>4802.6863692364404</v>
      </c>
      <c r="K202" s="70">
        <f>SUM(J$12:J202)</f>
        <v>10372038.616331164</v>
      </c>
      <c r="L202" s="70">
        <f t="shared" si="34"/>
        <v>6.1039345802161492E-2</v>
      </c>
      <c r="M202" s="70">
        <f>MAX(0,J202-I202)*H202+MIN(I202,J202)*Royalties!$O$17</f>
        <v>293.15283407115055</v>
      </c>
      <c r="N202" s="70">
        <f t="shared" si="31"/>
        <v>4509.5335351652902</v>
      </c>
      <c r="O202" s="70">
        <f t="shared" si="35"/>
        <v>0</v>
      </c>
    </row>
    <row r="203" spans="1:15" x14ac:dyDescent="0.4">
      <c r="A203">
        <v>192</v>
      </c>
      <c r="B203" s="65">
        <f t="shared" si="30"/>
        <v>192</v>
      </c>
      <c r="C203" s="65">
        <f>VLOOKUP(B203,'Oil Production'!$A$13:$I$252,7,FALSE)</f>
        <v>63.270263833692297</v>
      </c>
      <c r="D203" s="70">
        <f t="shared" si="32"/>
        <v>75.378719695971824</v>
      </c>
      <c r="E203" s="65">
        <f>D203*Royalties!$T$6</f>
        <v>474.11782493092056</v>
      </c>
      <c r="F203" s="65">
        <f>MIN((E203&lt;=Royalties!$N$10)*Royalties!$P$9+(E203&gt;=Royalties!$N$10)*(E203&lt;=Royalties!$N$11)*((E203-Royalties!$N$10)*Royalties!$O$10+Royalties!$P$10)+(E203&gt;=Royalties!$N$11)*(E203&lt;=Royalties!$N$12)*((E203-Royalties!$N$11)*Royalties!$O$11+Royalties!$P$11)+(E203&gt;Royalties!$N$12)*((E203-Royalties!$N$12)*Royalties!$O$12+Royalties!$P$12),Royalties!$O$14)</f>
        <v>0.23708815172305903</v>
      </c>
      <c r="G203" s="65">
        <f>(C203&lt;Royalties!$O$15)*(C203-Royalties!$O$15)*Royalties!$O$16</f>
        <v>-0.17648514382451541</v>
      </c>
      <c r="H203" s="83">
        <f>MAX(Royalties!$O$13,MIN(0.4,F203+G203))</f>
        <v>6.0603007898543615E-2</v>
      </c>
      <c r="I203" s="70">
        <f t="shared" si="36"/>
        <v>0</v>
      </c>
      <c r="J203" s="70">
        <f t="shared" si="33"/>
        <v>4769.2314826100755</v>
      </c>
      <c r="K203" s="70">
        <f>SUM(J$12:J203)</f>
        <v>10376807.847813774</v>
      </c>
      <c r="L203" s="70">
        <f t="shared" si="34"/>
        <v>6.0603007898543608E-2</v>
      </c>
      <c r="M203" s="70">
        <f>MAX(0,J203-I203)*H203+MIN(I203,J203)*Royalties!$O$17</f>
        <v>289.02977321060126</v>
      </c>
      <c r="N203" s="70">
        <f t="shared" si="31"/>
        <v>4480.2017093994746</v>
      </c>
      <c r="O203" s="70">
        <f t="shared" si="35"/>
        <v>0</v>
      </c>
    </row>
    <row r="204" spans="1:15" x14ac:dyDescent="0.4">
      <c r="A204">
        <v>193</v>
      </c>
      <c r="B204" s="65">
        <f t="shared" ref="B204:B251" si="37">A204</f>
        <v>193</v>
      </c>
      <c r="C204" s="65">
        <f>VLOOKUP(B204,'Oil Production'!$A$13:$I$252,7,FALSE)</f>
        <v>56.681669416691875</v>
      </c>
      <c r="D204" s="70">
        <f t="shared" si="32"/>
        <v>75.503213779984378</v>
      </c>
      <c r="E204" s="65">
        <f>D204*Royalties!$T$6</f>
        <v>474.90086906548356</v>
      </c>
      <c r="F204" s="65">
        <f>MIN((E204&lt;=Royalties!$N$10)*Royalties!$P$9+(E204&gt;=Royalties!$N$10)*(E204&lt;=Royalties!$N$11)*((E204-Royalties!$N$10)*Royalties!$O$10+Royalties!$P$10)+(E204&gt;=Royalties!$N$11)*(E204&lt;=Royalties!$N$12)*((E204-Royalties!$N$11)*Royalties!$O$11+Royalties!$P$11)+(E204&gt;Royalties!$N$12)*((E204-Royalties!$N$12)*Royalties!$O$12+Royalties!$P$12),Royalties!$O$14)</f>
        <v>0.23739353893553861</v>
      </c>
      <c r="G204" s="65">
        <f>(C204&lt;Royalties!$O$15)*(C204-Royalties!$O$15)*Royalties!$O$16</f>
        <v>-0.18537974628746598</v>
      </c>
      <c r="H204" s="83">
        <f>MAX(Royalties!$O$13,MIN(0.4,F204+G204))</f>
        <v>5.2013792648072626E-2</v>
      </c>
      <c r="I204" s="70">
        <f t="shared" si="36"/>
        <v>0</v>
      </c>
      <c r="J204" s="70">
        <f t="shared" si="33"/>
        <v>4279.6482033748889</v>
      </c>
      <c r="K204" s="70">
        <f>SUM(J$12:J204)</f>
        <v>10381087.496017149</v>
      </c>
      <c r="L204" s="70">
        <f t="shared" si="34"/>
        <v>5.2013792648072626E-2</v>
      </c>
      <c r="M204" s="70">
        <f>MAX(0,J204-I204)*H204+MIN(I204,J204)*Royalties!$O$17</f>
        <v>222.60073425703803</v>
      </c>
      <c r="N204" s="70">
        <f t="shared" ref="N204:N267" si="38">J204-M204</f>
        <v>4057.0474691178511</v>
      </c>
      <c r="O204" s="70">
        <f t="shared" si="35"/>
        <v>0</v>
      </c>
    </row>
    <row r="205" spans="1:15" x14ac:dyDescent="0.4">
      <c r="A205">
        <v>194</v>
      </c>
      <c r="B205" s="65">
        <f t="shared" si="37"/>
        <v>194</v>
      </c>
      <c r="C205" s="65">
        <f>VLOOKUP(B205,'Oil Production'!$A$13:$I$252,7,FALSE)</f>
        <v>62.245947848830838</v>
      </c>
      <c r="D205" s="70">
        <f t="shared" ref="D205:D251" si="39">D204*(1+$B$7)^(1/12)</f>
        <v>75.627913476098286</v>
      </c>
      <c r="E205" s="65">
        <f>D205*Royalties!$T$6</f>
        <v>475.68520646109778</v>
      </c>
      <c r="F205" s="65">
        <f>MIN((E205&lt;=Royalties!$N$10)*Royalties!$P$9+(E205&gt;=Royalties!$N$10)*(E205&lt;=Royalties!$N$11)*((E205-Royalties!$N$10)*Royalties!$O$10+Royalties!$P$10)+(E205&gt;=Royalties!$N$11)*(E205&lt;=Royalties!$N$12)*((E205-Royalties!$N$11)*Royalties!$O$11+Royalties!$P$11)+(E205&gt;Royalties!$N$12)*((E205-Royalties!$N$12)*Royalties!$O$12+Royalties!$P$12),Royalties!$O$14)</f>
        <v>0.23769943051982814</v>
      </c>
      <c r="G205" s="65">
        <f>(C205&lt;Royalties!$O$15)*(C205-Royalties!$O$15)*Royalties!$O$16</f>
        <v>-0.17786797040407837</v>
      </c>
      <c r="H205" s="83">
        <f>MAX(Royalties!$O$13,MIN(0.4,F205+G205))</f>
        <v>5.9831460115749774E-2</v>
      </c>
      <c r="I205" s="70">
        <f t="shared" si="36"/>
        <v>0</v>
      </c>
      <c r="J205" s="70">
        <f t="shared" ref="J205:J251" si="40">C205*D205</f>
        <v>4707.5311581491051</v>
      </c>
      <c r="K205" s="70">
        <f>SUM(J$12:J205)</f>
        <v>10385795.027175298</v>
      </c>
      <c r="L205" s="70">
        <f t="shared" ref="L205:L251" si="41">M205/J205</f>
        <v>5.9831460115749767E-2</v>
      </c>
      <c r="M205" s="70">
        <f>MAX(0,J205-I205)*H205+MIN(I205,J205)*Royalties!$O$17</f>
        <v>281.6584627324475</v>
      </c>
      <c r="N205" s="70">
        <f t="shared" si="38"/>
        <v>4425.8726954166577</v>
      </c>
      <c r="O205" s="70">
        <f t="shared" ref="O205:O251" si="42">H205*J205-M205</f>
        <v>0</v>
      </c>
    </row>
    <row r="206" spans="1:15" x14ac:dyDescent="0.4">
      <c r="A206">
        <v>195</v>
      </c>
      <c r="B206" s="65">
        <f t="shared" si="37"/>
        <v>195</v>
      </c>
      <c r="C206" s="65">
        <f>VLOOKUP(B206,'Oil Production'!$A$13:$I$252,7,FALSE)</f>
        <v>59.735585804242874</v>
      </c>
      <c r="D206" s="70">
        <f t="shared" si="39"/>
        <v>75.752819123898647</v>
      </c>
      <c r="E206" s="65">
        <f>D206*Royalties!$T$6</f>
        <v>476.47083925368895</v>
      </c>
      <c r="F206" s="65">
        <f>MIN((E206&lt;=Royalties!$N$10)*Royalties!$P$9+(E206&gt;=Royalties!$N$10)*(E206&lt;=Royalties!$N$11)*((E206-Royalties!$N$10)*Royalties!$O$10+Royalties!$P$10)+(E206&gt;=Royalties!$N$11)*(E206&lt;=Royalties!$N$12)*((E206-Royalties!$N$11)*Royalties!$O$11+Royalties!$P$11)+(E206&gt;Royalties!$N$12)*((E206-Royalties!$N$12)*Royalties!$O$12+Royalties!$P$12),Royalties!$O$14)</f>
        <v>0.23800582730893871</v>
      </c>
      <c r="G206" s="65">
        <f>(C206&lt;Royalties!$O$15)*(C206-Royalties!$O$15)*Royalties!$O$16</f>
        <v>-0.18125695916427212</v>
      </c>
      <c r="H206" s="83">
        <f>MAX(Royalties!$O$13,MIN(0.4,F206+G206))</f>
        <v>5.6748868144666592E-2</v>
      </c>
      <c r="I206" s="70">
        <f t="shared" ref="I206:I251" si="43">MAX(I205-J205,0)</f>
        <v>0</v>
      </c>
      <c r="J206" s="70">
        <f t="shared" si="40"/>
        <v>4525.1390266889384</v>
      </c>
      <c r="K206" s="70">
        <f>SUM(J$12:J206)</f>
        <v>10390320.166201986</v>
      </c>
      <c r="L206" s="70">
        <f t="shared" si="41"/>
        <v>5.6748868144666592E-2</v>
      </c>
      <c r="M206" s="70">
        <f>MAX(0,J206-I206)*H206+MIN(I206,J206)*Royalties!$O$17</f>
        <v>256.7965179618555</v>
      </c>
      <c r="N206" s="70">
        <f t="shared" si="38"/>
        <v>4268.3425087270825</v>
      </c>
      <c r="O206" s="70">
        <f t="shared" si="42"/>
        <v>0</v>
      </c>
    </row>
    <row r="207" spans="1:15" x14ac:dyDescent="0.4">
      <c r="A207">
        <v>196</v>
      </c>
      <c r="B207" s="65">
        <f t="shared" si="37"/>
        <v>196</v>
      </c>
      <c r="C207" s="65">
        <f>VLOOKUP(B207,'Oil Production'!$A$13:$I$252,7,FALSE)</f>
        <v>61.214527298463508</v>
      </c>
      <c r="D207" s="70">
        <f t="shared" si="39"/>
        <v>75.87793106353142</v>
      </c>
      <c r="E207" s="65">
        <f>D207*Royalties!$T$6</f>
        <v>477.25776958271058</v>
      </c>
      <c r="F207" s="65">
        <f>MIN((E207&lt;=Royalties!$N$10)*Royalties!$P$9+(E207&gt;=Royalties!$N$10)*(E207&lt;=Royalties!$N$11)*((E207-Royalties!$N$10)*Royalties!$O$10+Royalties!$P$10)+(E207&gt;=Royalties!$N$11)*(E207&lt;=Royalties!$N$12)*((E207-Royalties!$N$11)*Royalties!$O$11+Royalties!$P$11)+(E207&gt;Royalties!$N$12)*((E207-Royalties!$N$12)*Royalties!$O$12+Royalties!$P$12),Royalties!$O$14)</f>
        <v>0.23831273013725712</v>
      </c>
      <c r="G207" s="65">
        <f>(C207&lt;Royalties!$O$15)*(C207-Royalties!$O$15)*Royalties!$O$16</f>
        <v>-0.17926038814707426</v>
      </c>
      <c r="H207" s="83">
        <f>MAX(Royalties!$O$13,MIN(0.4,F207+G207))</f>
        <v>5.9052341990182861E-2</v>
      </c>
      <c r="I207" s="70">
        <f t="shared" si="43"/>
        <v>0</v>
      </c>
      <c r="J207" s="70">
        <f t="shared" si="40"/>
        <v>4644.831682439476</v>
      </c>
      <c r="K207" s="70">
        <f>SUM(J$12:J207)</f>
        <v>10394964.997884426</v>
      </c>
      <c r="L207" s="70">
        <f t="shared" si="41"/>
        <v>5.9052341990182868E-2</v>
      </c>
      <c r="M207" s="70">
        <f>MAX(0,J207-I207)*H207+MIN(I207,J207)*Royalties!$O$17</f>
        <v>274.28818899825239</v>
      </c>
      <c r="N207" s="70">
        <f t="shared" si="38"/>
        <v>4370.5434934412233</v>
      </c>
      <c r="O207" s="70">
        <f t="shared" si="42"/>
        <v>0</v>
      </c>
    </row>
    <row r="208" spans="1:15" x14ac:dyDescent="0.4">
      <c r="A208">
        <v>197</v>
      </c>
      <c r="B208" s="65">
        <f t="shared" si="37"/>
        <v>197</v>
      </c>
      <c r="C208" s="65">
        <f>VLOOKUP(B208,'Oil Production'!$A$13:$I$252,7,FALSE)</f>
        <v>58.750658571778331</v>
      </c>
      <c r="D208" s="70">
        <f t="shared" si="39"/>
        <v>76.003249635704336</v>
      </c>
      <c r="E208" s="65">
        <f>D208*Royalties!$T$6</f>
        <v>478.0459995911495</v>
      </c>
      <c r="F208" s="65">
        <f>MIN((E208&lt;=Royalties!$N$10)*Royalties!$P$9+(E208&gt;=Royalties!$N$10)*(E208&lt;=Royalties!$N$11)*((E208-Royalties!$N$10)*Royalties!$O$10+Royalties!$P$10)+(E208&gt;=Royalties!$N$11)*(E208&lt;=Royalties!$N$12)*((E208-Royalties!$N$11)*Royalties!$O$11+Royalties!$P$11)+(E208&gt;Royalties!$N$12)*((E208-Royalties!$N$12)*Royalties!$O$12+Royalties!$P$12),Royalties!$O$14)</f>
        <v>0.23862013984054831</v>
      </c>
      <c r="G208" s="65">
        <f>(C208&lt;Royalties!$O$15)*(C208-Royalties!$O$15)*Royalties!$O$16</f>
        <v>-0.18258661092809927</v>
      </c>
      <c r="H208" s="83">
        <f>MAX(Royalties!$O$13,MIN(0.4,F208+G208))</f>
        <v>5.6033528912449032E-2</v>
      </c>
      <c r="I208" s="70">
        <f t="shared" si="43"/>
        <v>0</v>
      </c>
      <c r="J208" s="70">
        <f t="shared" si="40"/>
        <v>4465.2409696929017</v>
      </c>
      <c r="K208" s="70">
        <f>SUM(J$12:J208)</f>
        <v>10399430.23885412</v>
      </c>
      <c r="L208" s="70">
        <f t="shared" si="41"/>
        <v>5.6033528912449032E-2</v>
      </c>
      <c r="M208" s="70">
        <f>MAX(0,J208-I208)*H208+MIN(I208,J208)*Royalties!$O$17</f>
        <v>250.20320897633917</v>
      </c>
      <c r="N208" s="70">
        <f t="shared" si="38"/>
        <v>4215.0377607165628</v>
      </c>
      <c r="O208" s="70">
        <f t="shared" si="42"/>
        <v>0</v>
      </c>
    </row>
    <row r="209" spans="1:15" x14ac:dyDescent="0.4">
      <c r="A209">
        <v>198</v>
      </c>
      <c r="B209" s="65">
        <f t="shared" si="37"/>
        <v>198</v>
      </c>
      <c r="C209" s="65">
        <f>VLOOKUP(B209,'Oil Production'!$A$13:$I$252,7,FALSE)</f>
        <v>60.210182627488393</v>
      </c>
      <c r="D209" s="70">
        <f t="shared" si="39"/>
        <v>76.128775181687843</v>
      </c>
      <c r="E209" s="65">
        <f>D209*Royalties!$T$6</f>
        <v>478.835531425532</v>
      </c>
      <c r="F209" s="65">
        <f>MIN((E209&lt;=Royalties!$N$10)*Royalties!$P$9+(E209&gt;=Royalties!$N$10)*(E209&lt;=Royalties!$N$11)*((E209-Royalties!$N$10)*Royalties!$O$10+Royalties!$P$10)+(E209&gt;=Royalties!$N$11)*(E209&lt;=Royalties!$N$12)*((E209-Royalties!$N$11)*Royalties!$O$11+Royalties!$P$11)+(E209&gt;Royalties!$N$12)*((E209-Royalties!$N$12)*Royalties!$O$12+Royalties!$P$12),Royalties!$O$14)</f>
        <v>0.23892805725595748</v>
      </c>
      <c r="G209" s="65">
        <f>(C209&lt;Royalties!$O$15)*(C209-Royalties!$O$15)*Royalties!$O$16</f>
        <v>-0.18061625345289067</v>
      </c>
      <c r="H209" s="83">
        <f>MAX(Royalties!$O$13,MIN(0.4,F209+G209))</f>
        <v>5.8311803803066803E-2</v>
      </c>
      <c r="I209" s="70">
        <f t="shared" si="43"/>
        <v>0</v>
      </c>
      <c r="J209" s="70">
        <f t="shared" si="40"/>
        <v>4583.7274568964312</v>
      </c>
      <c r="K209" s="70">
        <f>SUM(J$12:J209)</f>
        <v>10404013.966311015</v>
      </c>
      <c r="L209" s="70">
        <f t="shared" si="41"/>
        <v>5.8311803803066803E-2</v>
      </c>
      <c r="M209" s="70">
        <f>MAX(0,J209-I209)*H209+MIN(I209,J209)*Royalties!$O$17</f>
        <v>267.28541615327504</v>
      </c>
      <c r="N209" s="70">
        <f t="shared" si="38"/>
        <v>4316.4420407431562</v>
      </c>
      <c r="O209" s="70">
        <f t="shared" si="42"/>
        <v>0</v>
      </c>
    </row>
    <row r="210" spans="1:15" x14ac:dyDescent="0.4">
      <c r="A210">
        <v>199</v>
      </c>
      <c r="B210" s="65">
        <f t="shared" si="37"/>
        <v>199</v>
      </c>
      <c r="C210" s="65">
        <f>VLOOKUP(B210,'Oil Production'!$A$13:$I$252,7,FALSE)</f>
        <v>59.709842428361299</v>
      </c>
      <c r="D210" s="70">
        <f t="shared" si="39"/>
        <v>76.254508043316008</v>
      </c>
      <c r="E210" s="65">
        <f>D210*Royalties!$T$6</f>
        <v>479.62636723592948</v>
      </c>
      <c r="F210" s="65">
        <f>MIN((E210&lt;=Royalties!$N$10)*Royalties!$P$9+(E210&gt;=Royalties!$N$10)*(E210&lt;=Royalties!$N$11)*((E210-Royalties!$N$10)*Royalties!$O$10+Royalties!$P$10)+(E210&gt;=Royalties!$N$11)*(E210&lt;=Royalties!$N$12)*((E210-Royalties!$N$11)*Royalties!$O$11+Royalties!$P$11)+(E210&gt;Royalties!$N$12)*((E210-Royalties!$N$12)*Royalties!$O$12+Royalties!$P$12),Royalties!$O$14)</f>
        <v>0.23923648322201249</v>
      </c>
      <c r="G210" s="65">
        <f>(C210&lt;Royalties!$O$15)*(C210-Royalties!$O$15)*Royalties!$O$16</f>
        <v>-0.18129171272171227</v>
      </c>
      <c r="H210" s="83">
        <f>MAX(Royalties!$O$13,MIN(0.4,F210+G210))</f>
        <v>5.7944770500300224E-2</v>
      </c>
      <c r="I210" s="70">
        <f t="shared" si="43"/>
        <v>0</v>
      </c>
      <c r="J210" s="70">
        <f t="shared" si="40"/>
        <v>4553.1446597186077</v>
      </c>
      <c r="K210" s="70">
        <f>SUM(J$12:J210)</f>
        <v>10408567.110970734</v>
      </c>
      <c r="L210" s="70">
        <f t="shared" si="41"/>
        <v>5.7944770500300218E-2</v>
      </c>
      <c r="M210" s="70">
        <f>MAX(0,J210-I210)*H210+MIN(I210,J210)*Royalties!$O$17</f>
        <v>263.83092236206227</v>
      </c>
      <c r="N210" s="70">
        <f t="shared" si="38"/>
        <v>4289.3137373565451</v>
      </c>
      <c r="O210" s="70">
        <f t="shared" si="42"/>
        <v>0</v>
      </c>
    </row>
    <row r="211" spans="1:15" x14ac:dyDescent="0.4">
      <c r="A211">
        <v>200</v>
      </c>
      <c r="B211" s="65">
        <f t="shared" si="37"/>
        <v>200</v>
      </c>
      <c r="C211" s="65">
        <f>VLOOKUP(B211,'Oil Production'!$A$13:$I$252,7,FALSE)</f>
        <v>57.313563698669896</v>
      </c>
      <c r="D211" s="70">
        <f t="shared" si="39"/>
        <v>76.380448562987468</v>
      </c>
      <c r="E211" s="65">
        <f>D211*Royalties!$T$6</f>
        <v>480.41850917596423</v>
      </c>
      <c r="F211" s="65">
        <f>MIN((E211&lt;=Royalties!$N$10)*Royalties!$P$9+(E211&gt;=Royalties!$N$10)*(E211&lt;=Royalties!$N$11)*((E211-Royalties!$N$10)*Royalties!$O$10+Royalties!$P$10)+(E211&gt;=Royalties!$N$11)*(E211&lt;=Royalties!$N$12)*((E211-Royalties!$N$11)*Royalties!$O$11+Royalties!$P$11)+(E211&gt;Royalties!$N$12)*((E211-Royalties!$N$12)*Royalties!$O$12+Royalties!$P$12),Royalties!$O$14)</f>
        <v>0.23954541857862605</v>
      </c>
      <c r="G211" s="65">
        <f>(C211&lt;Royalties!$O$15)*(C211-Royalties!$O$15)*Royalties!$O$16</f>
        <v>-0.18452668900679564</v>
      </c>
      <c r="H211" s="83">
        <f>MAX(Royalties!$O$13,MIN(0.4,F211+G211))</f>
        <v>5.5018729571830405E-2</v>
      </c>
      <c r="I211" s="70">
        <f t="shared" si="43"/>
        <v>0</v>
      </c>
      <c r="J211" s="70">
        <f t="shared" si="40"/>
        <v>4377.6357040477615</v>
      </c>
      <c r="K211" s="70">
        <f>SUM(J$12:J211)</f>
        <v>10412944.746674782</v>
      </c>
      <c r="L211" s="70">
        <f t="shared" si="41"/>
        <v>5.5018729571830405E-2</v>
      </c>
      <c r="M211" s="70">
        <f>MAX(0,J211-I211)*H211+MIN(I211,J211)*Royalties!$O$17</f>
        <v>240.85195496499318</v>
      </c>
      <c r="N211" s="70">
        <f t="shared" si="38"/>
        <v>4136.7837490827678</v>
      </c>
      <c r="O211" s="70">
        <f t="shared" si="42"/>
        <v>0</v>
      </c>
    </row>
    <row r="212" spans="1:15" x14ac:dyDescent="0.4">
      <c r="A212">
        <v>201</v>
      </c>
      <c r="B212" s="65">
        <f t="shared" si="37"/>
        <v>201</v>
      </c>
      <c r="C212" s="65">
        <f>VLOOKUP(B212,'Oil Production'!$A$13:$I$252,7,FALSE)</f>
        <v>58.744517090846784</v>
      </c>
      <c r="D212" s="70">
        <f t="shared" si="39"/>
        <v>76.506597083666378</v>
      </c>
      <c r="E212" s="65">
        <f>D212*Royalties!$T$6</f>
        <v>481.21195940281564</v>
      </c>
      <c r="F212" s="65">
        <f>MIN((E212&lt;=Royalties!$N$10)*Royalties!$P$9+(E212&gt;=Royalties!$N$10)*(E212&lt;=Royalties!$N$11)*((E212-Royalties!$N$10)*Royalties!$O$10+Royalties!$P$10)+(E212&gt;=Royalties!$N$11)*(E212&lt;=Royalties!$N$12)*((E212-Royalties!$N$11)*Royalties!$O$11+Royalties!$P$11)+(E212&gt;Royalties!$N$12)*((E212-Royalties!$N$12)*Royalties!$O$12+Royalties!$P$12),Royalties!$O$14)</f>
        <v>0.23985486416709811</v>
      </c>
      <c r="G212" s="65">
        <f>(C212&lt;Royalties!$O$15)*(C212-Royalties!$O$15)*Royalties!$O$16</f>
        <v>-0.18259490192735686</v>
      </c>
      <c r="H212" s="83">
        <f>MAX(Royalties!$O$13,MIN(0.4,F212+G212))</f>
        <v>5.7259962239741252E-2</v>
      </c>
      <c r="I212" s="70">
        <f t="shared" si="43"/>
        <v>0</v>
      </c>
      <c r="J212" s="70">
        <f t="shared" si="40"/>
        <v>4494.3430999439679</v>
      </c>
      <c r="K212" s="70">
        <f>SUM(J$12:J212)</f>
        <v>10417439.089774726</v>
      </c>
      <c r="L212" s="70">
        <f t="shared" si="41"/>
        <v>5.7259962239741252E-2</v>
      </c>
      <c r="M212" s="70">
        <f>MAX(0,J212-I212)*H212+MIN(I212,J212)*Royalties!$O$17</f>
        <v>257.34591619523326</v>
      </c>
      <c r="N212" s="70">
        <f t="shared" si="38"/>
        <v>4236.9971837487346</v>
      </c>
      <c r="O212" s="70">
        <f t="shared" si="42"/>
        <v>0</v>
      </c>
    </row>
    <row r="213" spans="1:15" x14ac:dyDescent="0.4">
      <c r="A213">
        <v>202</v>
      </c>
      <c r="B213" s="65">
        <f t="shared" si="37"/>
        <v>202</v>
      </c>
      <c r="C213" s="65">
        <f>VLOOKUP(B213,'Oil Production'!$A$13:$I$252,7,FALSE)</f>
        <v>56.391451449511806</v>
      </c>
      <c r="D213" s="70">
        <f t="shared" si="39"/>
        <v>76.632953948883312</v>
      </c>
      <c r="E213" s="65">
        <f>D213*Royalties!$T$6</f>
        <v>482.00672007722574</v>
      </c>
      <c r="F213" s="65">
        <f>MIN((E213&lt;=Royalties!$N$10)*Royalties!$P$9+(E213&gt;=Royalties!$N$10)*(E213&lt;=Royalties!$N$11)*((E213-Royalties!$N$10)*Royalties!$O$10+Royalties!$P$10)+(E213&gt;=Royalties!$N$11)*(E213&lt;=Royalties!$N$12)*((E213-Royalties!$N$11)*Royalties!$O$11+Royalties!$P$11)+(E213&gt;Royalties!$N$12)*((E213-Royalties!$N$12)*Royalties!$O$12+Royalties!$P$12),Royalties!$O$14)</f>
        <v>0.24016482083011803</v>
      </c>
      <c r="G213" s="65">
        <f>(C213&lt;Royalties!$O$15)*(C213-Royalties!$O$15)*Royalties!$O$16</f>
        <v>-0.18577154054315909</v>
      </c>
      <c r="H213" s="83">
        <f>MAX(Royalties!$O$13,MIN(0.4,F213+G213))</f>
        <v>5.4393280286958945E-2</v>
      </c>
      <c r="I213" s="70">
        <f t="shared" si="43"/>
        <v>0</v>
      </c>
      <c r="J213" s="70">
        <f t="shared" si="40"/>
        <v>4321.4435020411274</v>
      </c>
      <c r="K213" s="70">
        <f>SUM(J$12:J213)</f>
        <v>10421760.533276767</v>
      </c>
      <c r="L213" s="70">
        <f t="shared" si="41"/>
        <v>5.4393280286958945E-2</v>
      </c>
      <c r="M213" s="70">
        <f>MAX(0,J213-I213)*H213+MIN(I213,J213)*Royalties!$O$17</f>
        <v>235.05748765078047</v>
      </c>
      <c r="N213" s="70">
        <f t="shared" si="38"/>
        <v>4086.3860143903471</v>
      </c>
      <c r="O213" s="70">
        <f t="shared" si="42"/>
        <v>0</v>
      </c>
    </row>
    <row r="214" spans="1:15" x14ac:dyDescent="0.4">
      <c r="A214">
        <v>203</v>
      </c>
      <c r="B214" s="65">
        <f t="shared" si="37"/>
        <v>203</v>
      </c>
      <c r="C214" s="65">
        <f>VLOOKUP(B214,'Oil Production'!$A$13:$I$252,7,FALSE)</f>
        <v>57.803921956190607</v>
      </c>
      <c r="D214" s="70">
        <f t="shared" si="39"/>
        <v>76.759519502736197</v>
      </c>
      <c r="E214" s="65">
        <f>D214*Royalties!$T$6</f>
        <v>482.80279336350515</v>
      </c>
      <c r="F214" s="65">
        <f>MIN((E214&lt;=Royalties!$N$10)*Royalties!$P$9+(E214&gt;=Royalties!$N$10)*(E214&lt;=Royalties!$N$11)*((E214-Royalties!$N$10)*Royalties!$O$10+Royalties!$P$10)+(E214&gt;=Royalties!$N$11)*(E214&lt;=Royalties!$N$12)*((E214-Royalties!$N$11)*Royalties!$O$11+Royalties!$P$11)+(E214&gt;Royalties!$N$12)*((E214-Royalties!$N$12)*Royalties!$O$12+Royalties!$P$12),Royalties!$O$14)</f>
        <v>0.24047528941176702</v>
      </c>
      <c r="G214" s="65">
        <f>(C214&lt;Royalties!$O$15)*(C214-Royalties!$O$15)*Royalties!$O$16</f>
        <v>-0.18386470535914268</v>
      </c>
      <c r="H214" s="83">
        <f>MAX(Royalties!$O$13,MIN(0.4,F214+G214))</f>
        <v>5.6610584052624341E-2</v>
      </c>
      <c r="I214" s="70">
        <f t="shared" si="43"/>
        <v>0</v>
      </c>
      <c r="J214" s="70">
        <f t="shared" si="40"/>
        <v>4437.0012747308538</v>
      </c>
      <c r="K214" s="70">
        <f>SUM(J$12:J214)</f>
        <v>10426197.534551498</v>
      </c>
      <c r="L214" s="70">
        <f t="shared" si="41"/>
        <v>5.6610584052624341E-2</v>
      </c>
      <c r="M214" s="70">
        <f>MAX(0,J214-I214)*H214+MIN(I214,J214)*Royalties!$O$17</f>
        <v>251.18123360475235</v>
      </c>
      <c r="N214" s="70">
        <f t="shared" si="38"/>
        <v>4185.8200411261014</v>
      </c>
      <c r="O214" s="70">
        <f t="shared" si="42"/>
        <v>0</v>
      </c>
    </row>
    <row r="215" spans="1:15" x14ac:dyDescent="0.4">
      <c r="A215">
        <v>204</v>
      </c>
      <c r="B215" s="65">
        <f t="shared" si="37"/>
        <v>204</v>
      </c>
      <c r="C215" s="65">
        <f>VLOOKUP(B215,'Oil Production'!$A$13:$I$252,7,FALSE)</f>
        <v>57.335113977605943</v>
      </c>
      <c r="D215" s="70">
        <f t="shared" si="39"/>
        <v>76.886294089891294</v>
      </c>
      <c r="E215" s="65">
        <f>D215*Royalties!$T$6</f>
        <v>483.60018142953919</v>
      </c>
      <c r="F215" s="65">
        <f>MIN((E215&lt;=Royalties!$N$10)*Royalties!$P$9+(E215&gt;=Royalties!$N$10)*(E215&lt;=Royalties!$N$11)*((E215-Royalties!$N$10)*Royalties!$O$10+Royalties!$P$10)+(E215&gt;=Royalties!$N$11)*(E215&lt;=Royalties!$N$12)*((E215-Royalties!$N$11)*Royalties!$O$11+Royalties!$P$11)+(E215&gt;Royalties!$N$12)*((E215-Royalties!$N$12)*Royalties!$O$12+Royalties!$P$12),Royalties!$O$14)</f>
        <v>0.24078627075752029</v>
      </c>
      <c r="G215" s="65">
        <f>(C215&lt;Royalties!$O$15)*(C215-Royalties!$O$15)*Royalties!$O$16</f>
        <v>-0.18449759613023198</v>
      </c>
      <c r="H215" s="83">
        <f>MAX(Royalties!$O$13,MIN(0.4,F215+G215))</f>
        <v>5.6288674627288315E-2</v>
      </c>
      <c r="I215" s="70">
        <f t="shared" si="43"/>
        <v>0</v>
      </c>
      <c r="J215" s="70">
        <f t="shared" si="40"/>
        <v>4408.2844349596471</v>
      </c>
      <c r="K215" s="70">
        <f>SUM(J$12:J215)</f>
        <v>10430605.818986457</v>
      </c>
      <c r="L215" s="70">
        <f t="shared" si="41"/>
        <v>5.6288674627288315E-2</v>
      </c>
      <c r="M215" s="70">
        <f>MAX(0,J215-I215)*H215+MIN(I215,J215)*Royalties!$O$17</f>
        <v>248.13648822398309</v>
      </c>
      <c r="N215" s="70">
        <f t="shared" si="38"/>
        <v>4160.1479467356639</v>
      </c>
      <c r="O215" s="70">
        <f t="shared" si="42"/>
        <v>0</v>
      </c>
    </row>
    <row r="216" spans="1:15" x14ac:dyDescent="0.4">
      <c r="A216">
        <v>205</v>
      </c>
      <c r="B216" s="65">
        <f t="shared" si="37"/>
        <v>205</v>
      </c>
      <c r="C216" s="65">
        <f>VLOOKUP(B216,'Oil Production'!$A$13:$I$252,7,FALSE)</f>
        <v>51.388641978322994</v>
      </c>
      <c r="D216" s="70">
        <f t="shared" si="39"/>
        <v>77.013278055584095</v>
      </c>
      <c r="E216" s="65">
        <f>D216*Royalties!$T$6</f>
        <v>484.39888644679343</v>
      </c>
      <c r="F216" s="65">
        <f>MIN((E216&lt;=Royalties!$N$10)*Royalties!$P$9+(E216&gt;=Royalties!$N$10)*(E216&lt;=Royalties!$N$11)*((E216-Royalties!$N$10)*Royalties!$O$10+Royalties!$P$10)+(E216&gt;=Royalties!$N$11)*(E216&lt;=Royalties!$N$12)*((E216-Royalties!$N$11)*Royalties!$O$11+Royalties!$P$11)+(E216&gt;Royalties!$N$12)*((E216-Royalties!$N$12)*Royalties!$O$12+Royalties!$P$12),Royalties!$O$14)</f>
        <v>0.24109776571424946</v>
      </c>
      <c r="G216" s="65">
        <f>(C216&lt;Royalties!$O$15)*(C216-Royalties!$O$15)*Royalties!$O$16</f>
        <v>-0.19252533332926397</v>
      </c>
      <c r="H216" s="83">
        <f>MAX(Royalties!$O$13,MIN(0.4,F216+G216))</f>
        <v>0.05</v>
      </c>
      <c r="I216" s="70">
        <f t="shared" si="43"/>
        <v>0</v>
      </c>
      <c r="J216" s="70">
        <f t="shared" si="40"/>
        <v>3957.6077735754498</v>
      </c>
      <c r="K216" s="70">
        <f>SUM(J$12:J216)</f>
        <v>10434563.426760033</v>
      </c>
      <c r="L216" s="70">
        <f t="shared" si="41"/>
        <v>0.05</v>
      </c>
      <c r="M216" s="70">
        <f>MAX(0,J216-I216)*H216+MIN(I216,J216)*Royalties!$O$17</f>
        <v>197.8803886787725</v>
      </c>
      <c r="N216" s="70">
        <f t="shared" si="38"/>
        <v>3759.7273848966774</v>
      </c>
      <c r="O216" s="70">
        <f t="shared" si="42"/>
        <v>0</v>
      </c>
    </row>
    <row r="217" spans="1:15" x14ac:dyDescent="0.4">
      <c r="A217">
        <v>206</v>
      </c>
      <c r="B217" s="65">
        <f t="shared" si="37"/>
        <v>206</v>
      </c>
      <c r="C217" s="65">
        <f>VLOOKUP(B217,'Oil Production'!$A$13:$I$252,7,FALSE)</f>
        <v>56.459503260906786</v>
      </c>
      <c r="D217" s="70">
        <f t="shared" si="39"/>
        <v>77.140471745620275</v>
      </c>
      <c r="E217" s="65">
        <f>D217*Royalties!$T$6</f>
        <v>485.19891059031988</v>
      </c>
      <c r="F217" s="65">
        <f>MIN((E217&lt;=Royalties!$N$10)*Royalties!$P$9+(E217&gt;=Royalties!$N$10)*(E217&lt;=Royalties!$N$11)*((E217-Royalties!$N$10)*Royalties!$O$10+Royalties!$P$10)+(E217&gt;=Royalties!$N$11)*(E217&lt;=Royalties!$N$12)*((E217-Royalties!$N$11)*Royalties!$O$11+Royalties!$P$11)+(E217&gt;Royalties!$N$12)*((E217-Royalties!$N$12)*Royalties!$O$12+Royalties!$P$12),Royalties!$O$14)</f>
        <v>0.24140977513022477</v>
      </c>
      <c r="G217" s="65">
        <f>(C217&lt;Royalties!$O$15)*(C217-Royalties!$O$15)*Royalties!$O$16</f>
        <v>-0.18567967059777585</v>
      </c>
      <c r="H217" s="83">
        <f>MAX(Royalties!$O$13,MIN(0.4,F217+G217))</f>
        <v>5.5730104532448921E-2</v>
      </c>
      <c r="I217" s="70">
        <f t="shared" si="43"/>
        <v>0</v>
      </c>
      <c r="J217" s="70">
        <f t="shared" si="40"/>
        <v>4355.3127160697359</v>
      </c>
      <c r="K217" s="70">
        <f>SUM(J$12:J217)</f>
        <v>10438918.739476103</v>
      </c>
      <c r="L217" s="70">
        <f t="shared" si="41"/>
        <v>5.5730104532448921E-2</v>
      </c>
      <c r="M217" s="70">
        <f>MAX(0,J217-I217)*H217+MIN(I217,J217)*Royalties!$O$17</f>
        <v>242.72203293807041</v>
      </c>
      <c r="N217" s="70">
        <f t="shared" si="38"/>
        <v>4112.5906831316652</v>
      </c>
      <c r="O217" s="70">
        <f t="shared" si="42"/>
        <v>0</v>
      </c>
    </row>
    <row r="218" spans="1:15" x14ac:dyDescent="0.4">
      <c r="A218">
        <v>207</v>
      </c>
      <c r="B218" s="65">
        <f t="shared" si="37"/>
        <v>207</v>
      </c>
      <c r="C218" s="65">
        <f>VLOOKUP(B218,'Oil Production'!$A$13:$I$252,7,FALSE)</f>
        <v>54.208257581020007</v>
      </c>
      <c r="D218" s="70">
        <f t="shared" si="39"/>
        <v>77.26787550637664</v>
      </c>
      <c r="E218" s="65">
        <f>D218*Royalties!$T$6</f>
        <v>486.00025603876287</v>
      </c>
      <c r="F218" s="65">
        <f>MIN((E218&lt;=Royalties!$N$10)*Royalties!$P$9+(E218&gt;=Royalties!$N$10)*(E218&lt;=Royalties!$N$11)*((E218-Royalties!$N$10)*Royalties!$O$10+Royalties!$P$10)+(E218&gt;=Royalties!$N$11)*(E218&lt;=Royalties!$N$12)*((E218-Royalties!$N$11)*Royalties!$O$11+Royalties!$P$11)+(E218&gt;Royalties!$N$12)*((E218-Royalties!$N$12)*Royalties!$O$12+Royalties!$P$12),Royalties!$O$14)</f>
        <v>0.24172229985511753</v>
      </c>
      <c r="G218" s="65">
        <f>(C218&lt;Royalties!$O$15)*(C218-Royalties!$O$15)*Royalties!$O$16</f>
        <v>-0.18871885226562299</v>
      </c>
      <c r="H218" s="83">
        <f>MAX(Royalties!$O$13,MIN(0.4,F218+G218))</f>
        <v>5.3003447589494546E-2</v>
      </c>
      <c r="I218" s="70">
        <f t="shared" si="43"/>
        <v>0</v>
      </c>
      <c r="J218" s="70">
        <f t="shared" si="40"/>
        <v>4188.5568981878514</v>
      </c>
      <c r="K218" s="70">
        <f>SUM(J$12:J218)</f>
        <v>10443107.296374291</v>
      </c>
      <c r="L218" s="70">
        <f t="shared" si="41"/>
        <v>5.3003447589494546E-2</v>
      </c>
      <c r="M218" s="70">
        <f>MAX(0,J218-I218)*H218+MIN(I218,J218)*Royalties!$O$17</f>
        <v>222.00795602871563</v>
      </c>
      <c r="N218" s="70">
        <f t="shared" si="38"/>
        <v>3966.5489421591355</v>
      </c>
      <c r="O218" s="70">
        <f t="shared" si="42"/>
        <v>0</v>
      </c>
    </row>
    <row r="219" spans="1:15" x14ac:dyDescent="0.4">
      <c r="A219">
        <v>208</v>
      </c>
      <c r="B219" s="65">
        <f t="shared" si="37"/>
        <v>208</v>
      </c>
      <c r="C219" s="65">
        <f>VLOOKUP(B219,'Oil Production'!$A$13:$I$252,7,FALSE)</f>
        <v>55.576493759494042</v>
      </c>
      <c r="D219" s="70">
        <f t="shared" si="39"/>
        <v>77.395489684802072</v>
      </c>
      <c r="E219" s="65">
        <f>D219*Royalties!$T$6</f>
        <v>486.80292497436494</v>
      </c>
      <c r="F219" s="65">
        <f>MIN((E219&lt;=Royalties!$N$10)*Royalties!$P$9+(E219&gt;=Royalties!$N$10)*(E219&lt;=Royalties!$N$11)*((E219-Royalties!$N$10)*Royalties!$O$10+Royalties!$P$10)+(E219&gt;=Royalties!$N$11)*(E219&lt;=Royalties!$N$12)*((E219-Royalties!$N$11)*Royalties!$O$11+Royalties!$P$11)+(E219&gt;Royalties!$N$12)*((E219-Royalties!$N$12)*Royalties!$O$12+Royalties!$P$12),Royalties!$O$14)</f>
        <v>0.24203534074000232</v>
      </c>
      <c r="G219" s="65">
        <f>(C219&lt;Royalties!$O$15)*(C219-Royalties!$O$15)*Royalties!$O$16</f>
        <v>-0.18687173342468305</v>
      </c>
      <c r="H219" s="83">
        <f>MAX(Royalties!$O$13,MIN(0.4,F219+G219))</f>
        <v>5.5163607315319274E-2</v>
      </c>
      <c r="I219" s="70">
        <f t="shared" si="43"/>
        <v>0</v>
      </c>
      <c r="J219" s="70">
        <f t="shared" si="40"/>
        <v>4301.3699494803877</v>
      </c>
      <c r="K219" s="70">
        <f>SUM(J$12:J219)</f>
        <v>10447408.666323772</v>
      </c>
      <c r="L219" s="70">
        <f t="shared" si="41"/>
        <v>5.5163607315319274E-2</v>
      </c>
      <c r="M219" s="70">
        <f>MAX(0,J219-I219)*H219+MIN(I219,J219)*Royalties!$O$17</f>
        <v>237.27908281105081</v>
      </c>
      <c r="N219" s="70">
        <f t="shared" si="38"/>
        <v>4064.0908666693367</v>
      </c>
      <c r="O219" s="70">
        <f t="shared" si="42"/>
        <v>0</v>
      </c>
    </row>
    <row r="220" spans="1:15" x14ac:dyDescent="0.4">
      <c r="A220">
        <v>209</v>
      </c>
      <c r="B220" s="65">
        <f t="shared" si="37"/>
        <v>209</v>
      </c>
      <c r="C220" s="65">
        <f>VLOOKUP(B220,'Oil Production'!$A$13:$I$252,7,FALSE)</f>
        <v>53.364416344847996</v>
      </c>
      <c r="D220" s="70">
        <f t="shared" si="39"/>
        <v>77.523314628418447</v>
      </c>
      <c r="E220" s="65">
        <f>D220*Royalties!$T$6</f>
        <v>487.60691958297264</v>
      </c>
      <c r="F220" s="65">
        <f>MIN((E220&lt;=Royalties!$N$10)*Royalties!$P$9+(E220&gt;=Royalties!$N$10)*(E220&lt;=Royalties!$N$11)*((E220-Royalties!$N$10)*Royalties!$O$10+Royalties!$P$10)+(E220&gt;=Royalties!$N$11)*(E220&lt;=Royalties!$N$12)*((E220-Royalties!$N$11)*Royalties!$O$11+Royalties!$P$11)+(E220&gt;Royalties!$N$12)*((E220-Royalties!$N$12)*Royalties!$O$12+Royalties!$P$12),Royalties!$O$14)</f>
        <v>0.24234889863735934</v>
      </c>
      <c r="G220" s="65">
        <f>(C220&lt;Royalties!$O$15)*(C220-Royalties!$O$15)*Royalties!$O$16</f>
        <v>-0.18985803793445521</v>
      </c>
      <c r="H220" s="83">
        <f>MAX(Royalties!$O$13,MIN(0.4,F220+G220))</f>
        <v>5.2490860702904124E-2</v>
      </c>
      <c r="I220" s="70">
        <f t="shared" si="43"/>
        <v>0</v>
      </c>
      <c r="J220" s="70">
        <f t="shared" si="40"/>
        <v>4136.9864382635669</v>
      </c>
      <c r="K220" s="70">
        <f>SUM(J$12:J220)</f>
        <v>10451545.652762035</v>
      </c>
      <c r="L220" s="70">
        <f t="shared" si="41"/>
        <v>5.2490860702904124E-2</v>
      </c>
      <c r="M220" s="70">
        <f>MAX(0,J220-I220)*H220+MIN(I220,J220)*Royalties!$O$17</f>
        <v>217.15397886069636</v>
      </c>
      <c r="N220" s="70">
        <f t="shared" si="38"/>
        <v>3919.8324594028704</v>
      </c>
      <c r="O220" s="70">
        <f t="shared" si="42"/>
        <v>0</v>
      </c>
    </row>
    <row r="221" spans="1:15" x14ac:dyDescent="0.4">
      <c r="A221">
        <v>210</v>
      </c>
      <c r="B221" s="65">
        <f t="shared" si="37"/>
        <v>210</v>
      </c>
      <c r="C221" s="65">
        <f>VLOOKUP(B221,'Oil Production'!$A$13:$I$252,7,FALSE)</f>
        <v>54.715374777500983</v>
      </c>
      <c r="D221" s="70">
        <f t="shared" si="39"/>
        <v>77.651350685321617</v>
      </c>
      <c r="E221" s="65">
        <f>D221*Royalties!$T$6</f>
        <v>488.41224205404279</v>
      </c>
      <c r="F221" s="65">
        <f>MIN((E221&lt;=Royalties!$N$10)*Royalties!$P$9+(E221&gt;=Royalties!$N$10)*(E221&lt;=Royalties!$N$11)*((E221-Royalties!$N$10)*Royalties!$O$10+Royalties!$P$10)+(E221&gt;=Royalties!$N$11)*(E221&lt;=Royalties!$N$12)*((E221-Royalties!$N$11)*Royalties!$O$11+Royalties!$P$11)+(E221&gt;Royalties!$N$12)*((E221-Royalties!$N$12)*Royalties!$O$12+Royalties!$P$12),Royalties!$O$14)</f>
        <v>0.2426629744010767</v>
      </c>
      <c r="G221" s="65">
        <f>(C221&lt;Royalties!$O$15)*(C221-Royalties!$O$15)*Royalties!$O$16</f>
        <v>-0.18803424405037369</v>
      </c>
      <c r="H221" s="83">
        <f>MAX(Royalties!$O$13,MIN(0.4,F221+G221))</f>
        <v>5.4628730350703009E-2</v>
      </c>
      <c r="I221" s="70">
        <f t="shared" si="43"/>
        <v>0</v>
      </c>
      <c r="J221" s="70">
        <f t="shared" si="40"/>
        <v>4248.7227547265302</v>
      </c>
      <c r="K221" s="70">
        <f>SUM(J$12:J221)</f>
        <v>10455794.375516761</v>
      </c>
      <c r="L221" s="70">
        <f t="shared" si="41"/>
        <v>5.4628730350703009E-2</v>
      </c>
      <c r="M221" s="70">
        <f>MAX(0,J221-I221)*H221+MIN(I221,J221)*Royalties!$O$17</f>
        <v>232.1023297028517</v>
      </c>
      <c r="N221" s="70">
        <f t="shared" si="38"/>
        <v>4016.6204250236783</v>
      </c>
      <c r="O221" s="70">
        <f t="shared" si="42"/>
        <v>0</v>
      </c>
    </row>
    <row r="222" spans="1:15" x14ac:dyDescent="0.4">
      <c r="A222">
        <v>211</v>
      </c>
      <c r="B222" s="65">
        <f t="shared" si="37"/>
        <v>211</v>
      </c>
      <c r="C222" s="65">
        <f>VLOOKUP(B222,'Oil Production'!$A$13:$I$252,7,FALSE)</f>
        <v>54.28590790432645</v>
      </c>
      <c r="D222" s="70">
        <f t="shared" si="39"/>
        <v>77.779598204182349</v>
      </c>
      <c r="E222" s="65">
        <f>D222*Royalties!$T$6</f>
        <v>489.21889458064817</v>
      </c>
      <c r="F222" s="65">
        <f>MIN((E222&lt;=Royalties!$N$10)*Royalties!$P$9+(E222&gt;=Royalties!$N$10)*(E222&lt;=Royalties!$N$11)*((E222-Royalties!$N$10)*Royalties!$O$10+Royalties!$P$10)+(E222&gt;=Royalties!$N$11)*(E222&lt;=Royalties!$N$12)*((E222-Royalties!$N$11)*Royalties!$O$11+Royalties!$P$11)+(E222&gt;Royalties!$N$12)*((E222-Royalties!$N$12)*Royalties!$O$12+Royalties!$P$12),Royalties!$O$14)</f>
        <v>0.24297756888645278</v>
      </c>
      <c r="G222" s="65">
        <f>(C222&lt;Royalties!$O$15)*(C222-Royalties!$O$15)*Royalties!$O$16</f>
        <v>-0.1886140243291593</v>
      </c>
      <c r="H222" s="83">
        <f>MAX(Royalties!$O$13,MIN(0.4,F222+G222))</f>
        <v>5.4363544557293475E-2</v>
      </c>
      <c r="I222" s="70">
        <f t="shared" si="43"/>
        <v>0</v>
      </c>
      <c r="J222" s="70">
        <f t="shared" si="40"/>
        <v>4222.336104947758</v>
      </c>
      <c r="K222" s="70">
        <f>SUM(J$12:J222)</f>
        <v>10460016.711621709</v>
      </c>
      <c r="L222" s="70">
        <f t="shared" si="41"/>
        <v>5.4363544557293475E-2</v>
      </c>
      <c r="M222" s="70">
        <f>MAX(0,J222-I222)*H222+MIN(I222,J222)*Royalties!$O$17</f>
        <v>229.54115697719641</v>
      </c>
      <c r="N222" s="70">
        <f t="shared" si="38"/>
        <v>3992.7949479705617</v>
      </c>
      <c r="O222" s="70">
        <f t="shared" si="42"/>
        <v>0</v>
      </c>
    </row>
    <row r="223" spans="1:15" x14ac:dyDescent="0.4">
      <c r="A223">
        <v>212</v>
      </c>
      <c r="B223" s="65">
        <f t="shared" si="37"/>
        <v>212</v>
      </c>
      <c r="C223" s="65">
        <f>VLOOKUP(B223,'Oil Production'!$A$13:$I$252,7,FALSE)</f>
        <v>52.130896913382458</v>
      </c>
      <c r="D223" s="70">
        <f t="shared" si="39"/>
        <v>77.908057534247249</v>
      </c>
      <c r="E223" s="65">
        <f>D223*Royalties!$T$6</f>
        <v>490.0268793594837</v>
      </c>
      <c r="F223" s="65">
        <f>MIN((E223&lt;=Royalties!$N$10)*Royalties!$P$9+(E223&gt;=Royalties!$N$10)*(E223&lt;=Royalties!$N$11)*((E223-Royalties!$N$10)*Royalties!$O$10+Royalties!$P$10)+(E223&gt;=Royalties!$N$11)*(E223&lt;=Royalties!$N$12)*((E223-Royalties!$N$11)*Royalties!$O$11+Royalties!$P$11)+(E223&gt;Royalties!$N$12)*((E223-Royalties!$N$12)*Royalties!$O$12+Royalties!$P$12),Royalties!$O$14)</f>
        <v>0.24329268295019865</v>
      </c>
      <c r="G223" s="65">
        <f>(C223&lt;Royalties!$O$15)*(C223-Royalties!$O$15)*Royalties!$O$16</f>
        <v>-0.1915232891669337</v>
      </c>
      <c r="H223" s="83">
        <f>MAX(Royalties!$O$13,MIN(0.4,F223+G223))</f>
        <v>5.176939378326495E-2</v>
      </c>
      <c r="I223" s="70">
        <f t="shared" si="43"/>
        <v>0</v>
      </c>
      <c r="J223" s="70">
        <f t="shared" si="40"/>
        <v>4061.4169160397128</v>
      </c>
      <c r="K223" s="70">
        <f>SUM(J$12:J223)</f>
        <v>10464078.128537748</v>
      </c>
      <c r="L223" s="70">
        <f t="shared" si="41"/>
        <v>5.176939378326495E-2</v>
      </c>
      <c r="M223" s="70">
        <f>MAX(0,J223-I223)*H223+MIN(I223,J223)*Royalties!$O$17</f>
        <v>210.25709164447341</v>
      </c>
      <c r="N223" s="70">
        <f t="shared" si="38"/>
        <v>3851.1598243952394</v>
      </c>
      <c r="O223" s="70">
        <f t="shared" si="42"/>
        <v>0</v>
      </c>
    </row>
    <row r="224" spans="1:15" x14ac:dyDescent="0.4">
      <c r="A224">
        <v>213</v>
      </c>
      <c r="B224" s="65">
        <f t="shared" si="37"/>
        <v>213</v>
      </c>
      <c r="C224" s="65">
        <f>VLOOKUP(B224,'Oil Production'!$A$13:$I$252,7,FALSE)</f>
        <v>53.456415925960755</v>
      </c>
      <c r="D224" s="70">
        <f t="shared" si="39"/>
        <v>78.036729025339739</v>
      </c>
      <c r="E224" s="65">
        <f>D224*Royalties!$T$6</f>
        <v>490.83619859087213</v>
      </c>
      <c r="F224" s="65">
        <f>MIN((E224&lt;=Royalties!$N$10)*Royalties!$P$9+(E224&gt;=Royalties!$N$10)*(E224&lt;=Royalties!$N$11)*((E224-Royalties!$N$10)*Royalties!$O$10+Royalties!$P$10)+(E224&gt;=Royalties!$N$11)*(E224&lt;=Royalties!$N$12)*((E224-Royalties!$N$11)*Royalties!$O$11+Royalties!$P$11)+(E224&gt;Royalties!$N$12)*((E224-Royalties!$N$12)*Royalties!$O$12+Royalties!$P$12),Royalties!$O$14)</f>
        <v>0.24360831745044015</v>
      </c>
      <c r="G224" s="65">
        <f>(C224&lt;Royalties!$O$15)*(C224-Royalties!$O$15)*Royalties!$O$16</f>
        <v>-0.18973383849995298</v>
      </c>
      <c r="H224" s="83">
        <f>MAX(Royalties!$O$13,MIN(0.4,F224+G224))</f>
        <v>5.3874478950487165E-2</v>
      </c>
      <c r="I224" s="70">
        <f t="shared" si="43"/>
        <v>0</v>
      </c>
      <c r="J224" s="70">
        <f t="shared" si="40"/>
        <v>4171.5638442800555</v>
      </c>
      <c r="K224" s="70">
        <f>SUM(J$12:J224)</f>
        <v>10468249.692382028</v>
      </c>
      <c r="L224" s="70">
        <f t="shared" si="41"/>
        <v>5.3874478950487165E-2</v>
      </c>
      <c r="M224" s="70">
        <f>MAX(0,J224-I224)*H224+MIN(I224,J224)*Royalties!$O$17</f>
        <v>224.74082851927918</v>
      </c>
      <c r="N224" s="70">
        <f t="shared" si="38"/>
        <v>3946.8230157607763</v>
      </c>
      <c r="O224" s="70">
        <f t="shared" si="42"/>
        <v>0</v>
      </c>
    </row>
    <row r="225" spans="1:15" x14ac:dyDescent="0.4">
      <c r="A225">
        <v>214</v>
      </c>
      <c r="B225" s="65">
        <f t="shared" si="37"/>
        <v>214</v>
      </c>
      <c r="C225" s="65">
        <f>VLOOKUP(B225,'Oil Production'!$A$13:$I$252,7,FALSE)</f>
        <v>51.337968647334492</v>
      </c>
      <c r="D225" s="70">
        <f t="shared" si="39"/>
        <v>78.165613027860999</v>
      </c>
      <c r="E225" s="65">
        <f>D225*Royalties!$T$6</f>
        <v>491.64685447877042</v>
      </c>
      <c r="F225" s="65">
        <f>MIN((E225&lt;=Royalties!$N$10)*Royalties!$P$9+(E225&gt;=Royalties!$N$10)*(E225&lt;=Royalties!$N$11)*((E225-Royalties!$N$10)*Royalties!$O$10+Royalties!$P$10)+(E225&gt;=Royalties!$N$11)*(E225&lt;=Royalties!$N$12)*((E225-Royalties!$N$11)*Royalties!$O$11+Royalties!$P$11)+(E225&gt;Royalties!$N$12)*((E225-Royalties!$N$12)*Royalties!$O$12+Royalties!$P$12),Royalties!$O$14)</f>
        <v>0.24392447324672048</v>
      </c>
      <c r="G225" s="65">
        <f>(C225&lt;Royalties!$O$15)*(C225-Royalties!$O$15)*Royalties!$O$16</f>
        <v>-0.19259374232609844</v>
      </c>
      <c r="H225" s="83">
        <f>MAX(Royalties!$O$13,MIN(0.4,F225+G225))</f>
        <v>5.1330730920622042E-2</v>
      </c>
      <c r="I225" s="70">
        <f t="shared" si="43"/>
        <v>0</v>
      </c>
      <c r="J225" s="70">
        <f t="shared" si="40"/>
        <v>4012.8637909240083</v>
      </c>
      <c r="K225" s="70">
        <f>SUM(J$12:J225)</f>
        <v>10472262.556172952</v>
      </c>
      <c r="L225" s="70">
        <f t="shared" si="41"/>
        <v>5.1330730920622042E-2</v>
      </c>
      <c r="M225" s="70">
        <f>MAX(0,J225-I225)*H225+MIN(I225,J225)*Royalties!$O$17</f>
        <v>205.98323147302759</v>
      </c>
      <c r="N225" s="70">
        <f t="shared" si="38"/>
        <v>3806.8805594509809</v>
      </c>
      <c r="O225" s="70">
        <f t="shared" si="42"/>
        <v>0</v>
      </c>
    </row>
    <row r="226" spans="1:15" x14ac:dyDescent="0.4">
      <c r="A226">
        <v>215</v>
      </c>
      <c r="B226" s="65">
        <f t="shared" si="37"/>
        <v>215</v>
      </c>
      <c r="C226" s="65">
        <f>VLOOKUP(B226,'Oil Production'!$A$13:$I$252,7,FALSE)</f>
        <v>52.647019157739123</v>
      </c>
      <c r="D226" s="70">
        <f t="shared" si="39"/>
        <v>78.294709892790948</v>
      </c>
      <c r="E226" s="65">
        <f>D226*Royalties!$T$6</f>
        <v>492.45884923077546</v>
      </c>
      <c r="F226" s="65">
        <f>MIN((E226&lt;=Royalties!$N$10)*Royalties!$P$9+(E226&gt;=Royalties!$N$10)*(E226&lt;=Royalties!$N$11)*((E226-Royalties!$N$10)*Royalties!$O$10+Royalties!$P$10)+(E226&gt;=Royalties!$N$11)*(E226&lt;=Royalties!$N$12)*((E226-Royalties!$N$11)*Royalties!$O$11+Royalties!$P$11)+(E226&gt;Royalties!$N$12)*((E226-Royalties!$N$12)*Royalties!$O$12+Royalties!$P$12),Royalties!$O$14)</f>
        <v>0.24424115120000245</v>
      </c>
      <c r="G226" s="65">
        <f>(C226&lt;Royalties!$O$15)*(C226-Royalties!$O$15)*Royalties!$O$16</f>
        <v>-0.1908265241370522</v>
      </c>
      <c r="H226" s="83">
        <f>MAX(Royalties!$O$13,MIN(0.4,F226+G226))</f>
        <v>5.3414627062950248E-2</v>
      </c>
      <c r="I226" s="70">
        <f t="shared" si="43"/>
        <v>0</v>
      </c>
      <c r="J226" s="70">
        <f t="shared" si="40"/>
        <v>4121.9830916753917</v>
      </c>
      <c r="K226" s="70">
        <f>SUM(J$12:J226)</f>
        <v>10476384.539264627</v>
      </c>
      <c r="L226" s="70">
        <f t="shared" si="41"/>
        <v>5.3414627062950248E-2</v>
      </c>
      <c r="M226" s="70">
        <f>MAX(0,J226-I226)*H226+MIN(I226,J226)*Royalties!$O$17</f>
        <v>220.17418960162772</v>
      </c>
      <c r="N226" s="70">
        <f t="shared" si="38"/>
        <v>3901.8089020737639</v>
      </c>
      <c r="O226" s="70">
        <f t="shared" si="42"/>
        <v>0</v>
      </c>
    </row>
    <row r="227" spans="1:15" x14ac:dyDescent="0.4">
      <c r="A227">
        <v>216</v>
      </c>
      <c r="B227" s="65">
        <f t="shared" si="37"/>
        <v>216</v>
      </c>
      <c r="C227" s="65">
        <f>VLOOKUP(B227,'Oil Production'!$A$13:$I$252,7,FALSE)</f>
        <v>52.243173819646472</v>
      </c>
      <c r="D227" s="70">
        <f t="shared" si="39"/>
        <v>78.424019971689148</v>
      </c>
      <c r="E227" s="65">
        <f>D227*Royalties!$T$6</f>
        <v>493.27218505813011</v>
      </c>
      <c r="F227" s="65">
        <f>MIN((E227&lt;=Royalties!$N$10)*Royalties!$P$9+(E227&gt;=Royalties!$N$10)*(E227&lt;=Royalties!$N$11)*((E227-Royalties!$N$10)*Royalties!$O$10+Royalties!$P$10)+(E227&gt;=Royalties!$N$11)*(E227&lt;=Royalties!$N$12)*((E227-Royalties!$N$11)*Royalties!$O$11+Royalties!$P$11)+(E227&gt;Royalties!$N$12)*((E227-Royalties!$N$12)*Royalties!$O$12+Royalties!$P$12),Royalties!$O$14)</f>
        <v>0.24455835217267075</v>
      </c>
      <c r="G227" s="65">
        <f>(C227&lt;Royalties!$O$15)*(C227-Royalties!$O$15)*Royalties!$O$16</f>
        <v>-0.19137171534347727</v>
      </c>
      <c r="H227" s="83">
        <f>MAX(Royalties!$O$13,MIN(0.4,F227+G227))</f>
        <v>5.3186636829193473E-2</v>
      </c>
      <c r="I227" s="70">
        <f t="shared" si="43"/>
        <v>0</v>
      </c>
      <c r="J227" s="70">
        <f t="shared" si="40"/>
        <v>4097.1197070163826</v>
      </c>
      <c r="K227" s="70">
        <f>SUM(J$12:J227)</f>
        <v>10480481.658971643</v>
      </c>
      <c r="L227" s="70">
        <f t="shared" si="41"/>
        <v>5.3186636829193473E-2</v>
      </c>
      <c r="M227" s="70">
        <f>MAX(0,J227-I227)*H227+MIN(I227,J227)*Royalties!$O$17</f>
        <v>217.9120179028119</v>
      </c>
      <c r="N227" s="70">
        <f t="shared" si="38"/>
        <v>3879.2076891135707</v>
      </c>
      <c r="O227" s="70">
        <f t="shared" si="42"/>
        <v>0</v>
      </c>
    </row>
    <row r="228" spans="1:15" x14ac:dyDescent="0.4">
      <c r="A228">
        <v>217</v>
      </c>
      <c r="B228" s="65">
        <f t="shared" si="37"/>
        <v>217</v>
      </c>
      <c r="C228" s="65">
        <f>VLOOKUP(B228,'Oil Production'!$A$13:$I$252,7,FALSE)</f>
        <v>48.511414216191042</v>
      </c>
      <c r="D228" s="70">
        <f t="shared" si="39"/>
        <v>78.553543616695805</v>
      </c>
      <c r="E228" s="65">
        <f>D228*Royalties!$T$6</f>
        <v>494.08686417572943</v>
      </c>
      <c r="F228" s="65">
        <f>MIN((E228&lt;=Royalties!$N$10)*Royalties!$P$9+(E228&gt;=Royalties!$N$10)*(E228&lt;=Royalties!$N$11)*((E228-Royalties!$N$10)*Royalties!$O$10+Royalties!$P$10)+(E228&gt;=Royalties!$N$11)*(E228&lt;=Royalties!$N$12)*((E228-Royalties!$N$11)*Royalties!$O$11+Royalties!$P$11)+(E228&gt;Royalties!$N$12)*((E228-Royalties!$N$12)*Royalties!$O$12+Royalties!$P$12),Royalties!$O$14)</f>
        <v>0.24487607702853448</v>
      </c>
      <c r="G228" s="65">
        <f>(C228&lt;Royalties!$O$15)*(C228-Royalties!$O$15)*Royalties!$O$16</f>
        <v>-0.1964095908081421</v>
      </c>
      <c r="H228" s="83">
        <f>MAX(Royalties!$O$13,MIN(0.4,F228+G228))</f>
        <v>0.05</v>
      </c>
      <c r="I228" s="70">
        <f t="shared" si="43"/>
        <v>0</v>
      </c>
      <c r="J228" s="70">
        <f t="shared" si="40"/>
        <v>3810.7434925391599</v>
      </c>
      <c r="K228" s="70">
        <f>SUM(J$12:J228)</f>
        <v>10484292.402464183</v>
      </c>
      <c r="L228" s="70">
        <f t="shared" si="41"/>
        <v>0.05</v>
      </c>
      <c r="M228" s="70">
        <f>MAX(0,J228-I228)*H228+MIN(I228,J228)*Royalties!$O$17</f>
        <v>190.53717462695801</v>
      </c>
      <c r="N228" s="70">
        <f t="shared" si="38"/>
        <v>3620.2063179122019</v>
      </c>
      <c r="O228" s="70">
        <f t="shared" si="42"/>
        <v>0</v>
      </c>
    </row>
    <row r="229" spans="1:15" x14ac:dyDescent="0.4">
      <c r="A229">
        <v>218</v>
      </c>
      <c r="B229" s="65">
        <f t="shared" si="37"/>
        <v>218</v>
      </c>
      <c r="C229" s="65">
        <f>VLOOKUP(B229,'Oil Production'!$A$13:$I$252,7,FALSE)</f>
        <v>51.475480492401402</v>
      </c>
      <c r="D229" s="70">
        <f t="shared" si="39"/>
        <v>78.683281180532717</v>
      </c>
      <c r="E229" s="65">
        <f>D229*Royalties!$T$6</f>
        <v>494.90288880212648</v>
      </c>
      <c r="F229" s="65">
        <f>MIN((E229&lt;=Royalties!$N$10)*Royalties!$P$9+(E229&gt;=Royalties!$N$10)*(E229&lt;=Royalties!$N$11)*((E229-Royalties!$N$10)*Royalties!$O$10+Royalties!$P$10)+(E229&gt;=Royalties!$N$11)*(E229&lt;=Royalties!$N$12)*((E229-Royalties!$N$11)*Royalties!$O$11+Royalties!$P$11)+(E229&gt;Royalties!$N$12)*((E229-Royalties!$N$12)*Royalties!$O$12+Royalties!$P$12),Royalties!$O$14)</f>
        <v>0.24519432663282933</v>
      </c>
      <c r="G229" s="65">
        <f>(C229&lt;Royalties!$O$15)*(C229-Royalties!$O$15)*Royalties!$O$16</f>
        <v>-0.19240810133525812</v>
      </c>
      <c r="H229" s="83">
        <f>MAX(Royalties!$O$13,MIN(0.4,F229+G229))</f>
        <v>5.278622529757121E-2</v>
      </c>
      <c r="I229" s="70">
        <f t="shared" si="43"/>
        <v>0</v>
      </c>
      <c r="J229" s="70">
        <f t="shared" si="40"/>
        <v>4050.2597054866465</v>
      </c>
      <c r="K229" s="70">
        <f>SUM(J$12:J229)</f>
        <v>10488342.662169669</v>
      </c>
      <c r="L229" s="70">
        <f t="shared" si="41"/>
        <v>5.278622529757121E-2</v>
      </c>
      <c r="M229" s="70">
        <f>MAX(0,J229-I229)*H229+MIN(I229,J229)*Royalties!$O$17</f>
        <v>213.79792132749253</v>
      </c>
      <c r="N229" s="70">
        <f t="shared" si="38"/>
        <v>3836.4617841591539</v>
      </c>
      <c r="O229" s="70">
        <f t="shared" si="42"/>
        <v>0</v>
      </c>
    </row>
    <row r="230" spans="1:15" x14ac:dyDescent="0.4">
      <c r="A230">
        <v>219</v>
      </c>
      <c r="B230" s="65">
        <f t="shared" si="37"/>
        <v>219</v>
      </c>
      <c r="C230" s="65">
        <f>VLOOKUP(B230,'Oil Production'!$A$13:$I$252,7,FALSE)</f>
        <v>49.443986457772553</v>
      </c>
      <c r="D230" s="70">
        <f t="shared" si="39"/>
        <v>78.813233016504213</v>
      </c>
      <c r="E230" s="65">
        <f>D230*Royalties!$T$6</f>
        <v>495.72026115953838</v>
      </c>
      <c r="F230" s="65">
        <f>MIN((E230&lt;=Royalties!$N$10)*Royalties!$P$9+(E230&gt;=Royalties!$N$10)*(E230&lt;=Royalties!$N$11)*((E230-Royalties!$N$10)*Royalties!$O$10+Royalties!$P$10)+(E230&gt;=Royalties!$N$11)*(E230&lt;=Royalties!$N$12)*((E230-Royalties!$N$11)*Royalties!$O$11+Royalties!$P$11)+(E230&gt;Royalties!$N$12)*((E230-Royalties!$N$12)*Royalties!$O$12+Royalties!$P$12),Royalties!$O$14)</f>
        <v>0.24551310185221997</v>
      </c>
      <c r="G230" s="65">
        <f>(C230&lt;Royalties!$O$15)*(C230-Royalties!$O$15)*Royalties!$O$16</f>
        <v>-0.19515061828200705</v>
      </c>
      <c r="H230" s="83">
        <f>MAX(Royalties!$O$13,MIN(0.4,F230+G230))</f>
        <v>5.0362483570212918E-2</v>
      </c>
      <c r="I230" s="70">
        <f t="shared" si="43"/>
        <v>0</v>
      </c>
      <c r="J230" s="70">
        <f t="shared" si="40"/>
        <v>3896.8404259613071</v>
      </c>
      <c r="K230" s="70">
        <f>SUM(J$12:J230)</f>
        <v>10492239.50259563</v>
      </c>
      <c r="L230" s="70">
        <f t="shared" si="41"/>
        <v>5.0362483570212918E-2</v>
      </c>
      <c r="M230" s="70">
        <f>MAX(0,J230-I230)*H230+MIN(I230,J230)*Royalties!$O$17</f>
        <v>196.25456192821784</v>
      </c>
      <c r="N230" s="70">
        <f t="shared" si="38"/>
        <v>3700.5858640330894</v>
      </c>
      <c r="O230" s="70">
        <f t="shared" si="42"/>
        <v>0</v>
      </c>
    </row>
    <row r="231" spans="1:15" x14ac:dyDescent="0.4">
      <c r="A231">
        <v>220</v>
      </c>
      <c r="B231" s="65">
        <f t="shared" si="37"/>
        <v>220</v>
      </c>
      <c r="C231" s="65">
        <f>VLOOKUP(B231,'Oil Production'!$A$13:$I$252,7,FALSE)</f>
        <v>50.713330524653429</v>
      </c>
      <c r="D231" s="70">
        <f t="shared" si="39"/>
        <v>78.943399478498151</v>
      </c>
      <c r="E231" s="65">
        <f>D231*Royalties!$T$6</f>
        <v>496.53898347385245</v>
      </c>
      <c r="F231" s="65">
        <f>MIN((E231&lt;=Royalties!$N$10)*Royalties!$P$9+(E231&gt;=Royalties!$N$10)*(E231&lt;=Royalties!$N$11)*((E231-Royalties!$N$10)*Royalties!$O$10+Royalties!$P$10)+(E231&gt;=Royalties!$N$11)*(E231&lt;=Royalties!$N$12)*((E231-Royalties!$N$11)*Royalties!$O$11+Royalties!$P$11)+(E231&gt;Royalties!$N$12)*((E231-Royalties!$N$12)*Royalties!$O$12+Royalties!$P$12),Royalties!$O$14)</f>
        <v>0.24583240355480246</v>
      </c>
      <c r="G231" s="65">
        <f>(C231&lt;Royalties!$O$15)*(C231-Royalties!$O$15)*Royalties!$O$16</f>
        <v>-0.19343700379171788</v>
      </c>
      <c r="H231" s="83">
        <f>MAX(Royalties!$O$13,MIN(0.4,F231+G231))</f>
        <v>5.2395399763084577E-2</v>
      </c>
      <c r="I231" s="70">
        <f t="shared" si="43"/>
        <v>0</v>
      </c>
      <c r="J231" s="70">
        <f t="shared" si="40"/>
        <v>4003.4827104928299</v>
      </c>
      <c r="K231" s="70">
        <f>SUM(J$12:J231)</f>
        <v>10496242.985306123</v>
      </c>
      <c r="L231" s="70">
        <f t="shared" si="41"/>
        <v>5.2395399763084577E-2</v>
      </c>
      <c r="M231" s="70">
        <f>MAX(0,J231-I231)*H231+MIN(I231,J231)*Royalties!$O$17</f>
        <v>209.76407706086923</v>
      </c>
      <c r="N231" s="70">
        <f t="shared" si="38"/>
        <v>3793.7186334319608</v>
      </c>
      <c r="O231" s="70">
        <f t="shared" si="42"/>
        <v>0</v>
      </c>
    </row>
    <row r="232" spans="1:15" x14ac:dyDescent="0.4">
      <c r="A232">
        <v>221</v>
      </c>
      <c r="B232" s="65">
        <f t="shared" si="37"/>
        <v>221</v>
      </c>
      <c r="C232" s="65">
        <f>VLOOKUP(B232,'Oil Production'!$A$13:$I$252,7,FALSE)</f>
        <v>48.715152487158775</v>
      </c>
      <c r="D232" s="70">
        <f t="shared" si="39"/>
        <v>79.073780920986863</v>
      </c>
      <c r="E232" s="65">
        <f>D232*Royalties!$T$6</f>
        <v>497.35905797463238</v>
      </c>
      <c r="F232" s="65">
        <f>MIN((E232&lt;=Royalties!$N$10)*Royalties!$P$9+(E232&gt;=Royalties!$N$10)*(E232&lt;=Royalties!$N$11)*((E232-Royalties!$N$10)*Royalties!$O$10+Royalties!$P$10)+(E232&gt;=Royalties!$N$11)*(E232&lt;=Royalties!$N$12)*((E232-Royalties!$N$11)*Royalties!$O$11+Royalties!$P$11)+(E232&gt;Royalties!$N$12)*((E232-Royalties!$N$12)*Royalties!$O$12+Royalties!$P$12),Royalties!$O$14)</f>
        <v>0.24615223261010663</v>
      </c>
      <c r="G232" s="65">
        <f>(C232&lt;Royalties!$O$15)*(C232-Royalties!$O$15)*Royalties!$O$16</f>
        <v>-0.19613454414233567</v>
      </c>
      <c r="H232" s="83">
        <f>MAX(Royalties!$O$13,MIN(0.4,F232+G232))</f>
        <v>5.0017688467770965E-2</v>
      </c>
      <c r="I232" s="70">
        <f t="shared" si="43"/>
        <v>0</v>
      </c>
      <c r="J232" s="70">
        <f t="shared" si="40"/>
        <v>3852.0912953020611</v>
      </c>
      <c r="K232" s="70">
        <f>SUM(J$12:J232)</f>
        <v>10500095.076601425</v>
      </c>
      <c r="L232" s="70">
        <f t="shared" si="41"/>
        <v>5.0017688467770965E-2</v>
      </c>
      <c r="M232" s="70">
        <f>MAX(0,J232-I232)*H232+MIN(I232,J232)*Royalties!$O$17</f>
        <v>192.67270235783081</v>
      </c>
      <c r="N232" s="70">
        <f t="shared" si="38"/>
        <v>3659.4185929442301</v>
      </c>
      <c r="O232" s="70">
        <f t="shared" si="42"/>
        <v>0</v>
      </c>
    </row>
    <row r="233" spans="1:15" x14ac:dyDescent="0.4">
      <c r="A233">
        <v>222</v>
      </c>
      <c r="B233" s="65">
        <f t="shared" si="37"/>
        <v>222</v>
      </c>
      <c r="C233" s="65">
        <f>VLOOKUP(B233,'Oil Production'!$A$13:$I$252,7,FALSE)</f>
        <v>49.969076649373164</v>
      </c>
      <c r="D233" s="70">
        <f t="shared" si="39"/>
        <v>79.2043776990281</v>
      </c>
      <c r="E233" s="65">
        <f>D233*Royalties!$T$6</f>
        <v>498.18048689512392</v>
      </c>
      <c r="F233" s="65">
        <f>MIN((E233&lt;=Royalties!$N$10)*Royalties!$P$9+(E233&gt;=Royalties!$N$10)*(E233&lt;=Royalties!$N$11)*((E233-Royalties!$N$10)*Royalties!$O$10+Royalties!$P$10)+(E233&gt;=Royalties!$N$11)*(E233&lt;=Royalties!$N$12)*((E233-Royalties!$N$11)*Royalties!$O$11+Royalties!$P$11)+(E233&gt;Royalties!$N$12)*((E233-Royalties!$N$12)*Royalties!$O$12+Royalties!$P$12),Royalties!$O$14)</f>
        <v>0.24647258988909834</v>
      </c>
      <c r="G233" s="65">
        <f>(C233&lt;Royalties!$O$15)*(C233-Royalties!$O$15)*Royalties!$O$16</f>
        <v>-0.19444174652334623</v>
      </c>
      <c r="H233" s="83">
        <f>MAX(Royalties!$O$13,MIN(0.4,F233+G233))</f>
        <v>5.2030843365752116E-2</v>
      </c>
      <c r="I233" s="70">
        <f t="shared" si="43"/>
        <v>0</v>
      </c>
      <c r="J233" s="70">
        <f t="shared" si="40"/>
        <v>3957.7696202086377</v>
      </c>
      <c r="K233" s="70">
        <f>SUM(J$12:J233)</f>
        <v>10504052.846221633</v>
      </c>
      <c r="L233" s="70">
        <f t="shared" si="41"/>
        <v>5.2030843365752116E-2</v>
      </c>
      <c r="M233" s="70">
        <f>MAX(0,J233-I233)*H233+MIN(I233,J233)*Royalties!$O$17</f>
        <v>205.92609118680787</v>
      </c>
      <c r="N233" s="70">
        <f t="shared" si="38"/>
        <v>3751.8435290218299</v>
      </c>
      <c r="O233" s="70">
        <f t="shared" si="42"/>
        <v>0</v>
      </c>
    </row>
    <row r="234" spans="1:15" x14ac:dyDescent="0.4">
      <c r="A234">
        <v>223</v>
      </c>
      <c r="B234" s="65">
        <f t="shared" si="37"/>
        <v>223</v>
      </c>
      <c r="C234" s="65">
        <f>VLOOKUP(B234,'Oil Production'!$A$13:$I$252,7,FALSE)</f>
        <v>49.597523156204261</v>
      </c>
      <c r="D234" s="70">
        <f t="shared" si="39"/>
        <v>79.335190168266038</v>
      </c>
      <c r="E234" s="65">
        <f>D234*Royalties!$T$6</f>
        <v>499.00327247226141</v>
      </c>
      <c r="F234" s="65">
        <f>MIN((E234&lt;=Royalties!$N$10)*Royalties!$P$9+(E234&gt;=Royalties!$N$10)*(E234&lt;=Royalties!$N$11)*((E234-Royalties!$N$10)*Royalties!$O$10+Royalties!$P$10)+(E234&gt;=Royalties!$N$11)*(E234&lt;=Royalties!$N$12)*((E234-Royalties!$N$11)*Royalties!$O$11+Royalties!$P$11)+(E234&gt;Royalties!$N$12)*((E234-Royalties!$N$12)*Royalties!$O$12+Royalties!$P$12),Royalties!$O$14)</f>
        <v>0.24679347626418197</v>
      </c>
      <c r="G234" s="65">
        <f>(C234&lt;Royalties!$O$15)*(C234-Royalties!$O$15)*Royalties!$O$16</f>
        <v>-0.19494334373912425</v>
      </c>
      <c r="H234" s="83">
        <f>MAX(Royalties!$O$13,MIN(0.4,F234+G234))</f>
        <v>5.1850132525057713E-2</v>
      </c>
      <c r="I234" s="70">
        <f t="shared" si="43"/>
        <v>0</v>
      </c>
      <c r="J234" s="70">
        <f t="shared" si="40"/>
        <v>3934.8289314724434</v>
      </c>
      <c r="K234" s="70">
        <f>SUM(J$12:J234)</f>
        <v>10507987.675153106</v>
      </c>
      <c r="L234" s="70">
        <f t="shared" si="41"/>
        <v>5.1850132525057713E-2</v>
      </c>
      <c r="M234" s="70">
        <f>MAX(0,J234-I234)*H234+MIN(I234,J234)*Royalties!$O$17</f>
        <v>204.02140156027741</v>
      </c>
      <c r="N234" s="70">
        <f t="shared" si="38"/>
        <v>3730.807529912166</v>
      </c>
      <c r="O234" s="70">
        <f t="shared" si="42"/>
        <v>0</v>
      </c>
    </row>
    <row r="235" spans="1:15" x14ac:dyDescent="0.4">
      <c r="A235">
        <v>224</v>
      </c>
      <c r="B235" s="65">
        <f t="shared" si="37"/>
        <v>224</v>
      </c>
      <c r="C235" s="65">
        <f>VLOOKUP(B235,'Oil Production'!$A$13:$I$252,7,FALSE)</f>
        <v>47.647980245237704</v>
      </c>
      <c r="D235" s="70">
        <f t="shared" si="39"/>
        <v>79.46621868493223</v>
      </c>
      <c r="E235" s="65">
        <f>D235*Royalties!$T$6</f>
        <v>499.82741694667362</v>
      </c>
      <c r="F235" s="65">
        <f>MIN((E235&lt;=Royalties!$N$10)*Royalties!$P$9+(E235&gt;=Royalties!$N$10)*(E235&lt;=Royalties!$N$11)*((E235-Royalties!$N$10)*Royalties!$O$10+Royalties!$P$10)+(E235&gt;=Royalties!$N$11)*(E235&lt;=Royalties!$N$12)*((E235-Royalties!$N$11)*Royalties!$O$11+Royalties!$P$11)+(E235&gt;Royalties!$N$12)*((E235-Royalties!$N$12)*Royalties!$O$12+Royalties!$P$12),Royalties!$O$14)</f>
        <v>0.24711489260920272</v>
      </c>
      <c r="G235" s="65">
        <f>(C235&lt;Royalties!$O$15)*(C235-Royalties!$O$15)*Royalties!$O$16</f>
        <v>-0.1975752266689291</v>
      </c>
      <c r="H235" s="83">
        <f>MAX(Royalties!$O$13,MIN(0.4,F235+G235))</f>
        <v>0.05</v>
      </c>
      <c r="I235" s="70">
        <f t="shared" si="43"/>
        <v>0</v>
      </c>
      <c r="J235" s="70">
        <f t="shared" si="40"/>
        <v>3786.4048180633904</v>
      </c>
      <c r="K235" s="70">
        <f>SUM(J$12:J235)</f>
        <v>10511774.07997117</v>
      </c>
      <c r="L235" s="70">
        <f t="shared" si="41"/>
        <v>0.05</v>
      </c>
      <c r="M235" s="70">
        <f>MAX(0,J235-I235)*H235+MIN(I235,J235)*Royalties!$O$17</f>
        <v>189.32024090316952</v>
      </c>
      <c r="N235" s="70">
        <f t="shared" si="38"/>
        <v>3597.0845771602208</v>
      </c>
      <c r="O235" s="70">
        <f t="shared" si="42"/>
        <v>0</v>
      </c>
    </row>
    <row r="236" spans="1:15" x14ac:dyDescent="0.4">
      <c r="A236">
        <v>225</v>
      </c>
      <c r="B236" s="65">
        <f t="shared" si="37"/>
        <v>225</v>
      </c>
      <c r="C236" s="65">
        <f>VLOOKUP(B236,'Oil Production'!$A$13:$I$252,7,FALSE)</f>
        <v>48.879184236982837</v>
      </c>
      <c r="D236" s="70">
        <f t="shared" si="39"/>
        <v>79.597463605846571</v>
      </c>
      <c r="E236" s="65">
        <f>D236*Royalties!$T$6</f>
        <v>500.65292256268981</v>
      </c>
      <c r="F236" s="65">
        <f>MIN((E236&lt;=Royalties!$N$10)*Royalties!$P$9+(E236&gt;=Royalties!$N$10)*(E236&lt;=Royalties!$N$11)*((E236-Royalties!$N$10)*Royalties!$O$10+Royalties!$P$10)+(E236&gt;=Royalties!$N$11)*(E236&lt;=Royalties!$N$12)*((E236-Royalties!$N$11)*Royalties!$O$11+Royalties!$P$11)+(E236&gt;Royalties!$N$12)*((E236-Royalties!$N$12)*Royalties!$O$12+Royalties!$P$12),Royalties!$O$14)</f>
        <v>0.24743683979944903</v>
      </c>
      <c r="G236" s="65">
        <f>(C236&lt;Royalties!$O$15)*(C236-Royalties!$O$15)*Royalties!$O$16</f>
        <v>-0.19591310128007319</v>
      </c>
      <c r="H236" s="83">
        <f>MAX(Royalties!$O$13,MIN(0.4,F236+G236))</f>
        <v>5.1523738519375833E-2</v>
      </c>
      <c r="I236" s="70">
        <f t="shared" si="43"/>
        <v>0</v>
      </c>
      <c r="J236" s="70">
        <f t="shared" si="40"/>
        <v>3890.6590883867107</v>
      </c>
      <c r="K236" s="70">
        <f>SUM(J$12:J236)</f>
        <v>10515664.739059556</v>
      </c>
      <c r="L236" s="70">
        <f t="shared" si="41"/>
        <v>5.1523738519375833E-2</v>
      </c>
      <c r="M236" s="70">
        <f>MAX(0,J236-I236)*H236+MIN(I236,J236)*Royalties!$O$17</f>
        <v>200.46130153807002</v>
      </c>
      <c r="N236" s="70">
        <f t="shared" si="38"/>
        <v>3690.1977868486406</v>
      </c>
      <c r="O236" s="70">
        <f t="shared" si="42"/>
        <v>0</v>
      </c>
    </row>
    <row r="237" spans="1:15" x14ac:dyDescent="0.4">
      <c r="A237">
        <v>226</v>
      </c>
      <c r="B237" s="65">
        <f t="shared" si="37"/>
        <v>226</v>
      </c>
      <c r="C237" s="65">
        <f>VLOOKUP(B237,'Oil Production'!$A$13:$I$252,7,FALSE)</f>
        <v>46.960862962761894</v>
      </c>
      <c r="D237" s="70">
        <f t="shared" si="39"/>
        <v>79.728925288418267</v>
      </c>
      <c r="E237" s="65">
        <f>D237*Royalties!$T$6</f>
        <v>501.47979156834612</v>
      </c>
      <c r="F237" s="65">
        <f>MIN((E237&lt;=Royalties!$N$10)*Royalties!$P$9+(E237&gt;=Royalties!$N$10)*(E237&lt;=Royalties!$N$11)*((E237-Royalties!$N$10)*Royalties!$O$10+Royalties!$P$10)+(E237&gt;=Royalties!$N$11)*(E237&lt;=Royalties!$N$12)*((E237-Royalties!$N$11)*Royalties!$O$11+Royalties!$P$11)+(E237&gt;Royalties!$N$12)*((E237-Royalties!$N$12)*Royalties!$O$12+Royalties!$P$12),Royalties!$O$14)</f>
        <v>0.24775931871165499</v>
      </c>
      <c r="G237" s="65">
        <f>(C237&lt;Royalties!$O$15)*(C237-Royalties!$O$15)*Royalties!$O$16</f>
        <v>-0.19850283500027147</v>
      </c>
      <c r="H237" s="83">
        <f>MAX(Royalties!$O$13,MIN(0.4,F237+G237))</f>
        <v>0.05</v>
      </c>
      <c r="I237" s="70">
        <f t="shared" si="43"/>
        <v>0</v>
      </c>
      <c r="J237" s="70">
        <f t="shared" si="40"/>
        <v>3744.1391346376918</v>
      </c>
      <c r="K237" s="70">
        <f>SUM(J$12:J237)</f>
        <v>10519408.878194194</v>
      </c>
      <c r="L237" s="70">
        <f t="shared" si="41"/>
        <v>0.05</v>
      </c>
      <c r="M237" s="70">
        <f>MAX(0,J237-I237)*H237+MIN(I237,J237)*Royalties!$O$17</f>
        <v>187.20695673188459</v>
      </c>
      <c r="N237" s="70">
        <f t="shared" si="38"/>
        <v>3556.9321779058073</v>
      </c>
      <c r="O237" s="70">
        <f t="shared" si="42"/>
        <v>0</v>
      </c>
    </row>
    <row r="238" spans="1:15" x14ac:dyDescent="0.4">
      <c r="A238">
        <v>227</v>
      </c>
      <c r="B238" s="65">
        <f t="shared" si="37"/>
        <v>227</v>
      </c>
      <c r="C238" s="65">
        <f>VLOOKUP(B238,'Oil Production'!$A$13:$I$252,7,FALSE)</f>
        <v>48.177348206343595</v>
      </c>
      <c r="D238" s="70">
        <f t="shared" si="39"/>
        <v>79.860604090646817</v>
      </c>
      <c r="E238" s="65">
        <f>D238*Royalties!$T$6</f>
        <v>502.30802621539124</v>
      </c>
      <c r="F238" s="65">
        <f>MIN((E238&lt;=Royalties!$N$10)*Royalties!$P$9+(E238&gt;=Royalties!$N$10)*(E238&lt;=Royalties!$N$11)*((E238-Royalties!$N$10)*Royalties!$O$10+Royalties!$P$10)+(E238&gt;=Royalties!$N$11)*(E238&lt;=Royalties!$N$12)*((E238-Royalties!$N$11)*Royalties!$O$11+Royalties!$P$11)+(E238&gt;Royalties!$N$12)*((E238-Royalties!$N$12)*Royalties!$O$12+Royalties!$P$12),Royalties!$O$14)</f>
        <v>0.24808233022400258</v>
      </c>
      <c r="G238" s="65">
        <f>(C238&lt;Royalties!$O$15)*(C238-Royalties!$O$15)*Royalties!$O$16</f>
        <v>-0.19686057992143616</v>
      </c>
      <c r="H238" s="83">
        <f>MAX(Royalties!$O$13,MIN(0.4,F238+G238))</f>
        <v>5.1221750302566427E-2</v>
      </c>
      <c r="I238" s="70">
        <f t="shared" si="43"/>
        <v>0</v>
      </c>
      <c r="J238" s="70">
        <f t="shared" si="40"/>
        <v>3847.4721312440392</v>
      </c>
      <c r="K238" s="70">
        <f>SUM(J$12:J238)</f>
        <v>10523256.350325439</v>
      </c>
      <c r="L238" s="70">
        <f t="shared" si="41"/>
        <v>5.1221750302566427E-2</v>
      </c>
      <c r="M238" s="70">
        <f>MAX(0,J238-I238)*H238+MIN(I238,J238)*Royalties!$O$17</f>
        <v>197.07425680266527</v>
      </c>
      <c r="N238" s="70">
        <f t="shared" si="38"/>
        <v>3650.3978744413739</v>
      </c>
      <c r="O238" s="70">
        <f t="shared" si="42"/>
        <v>0</v>
      </c>
    </row>
    <row r="239" spans="1:15" x14ac:dyDescent="0.4">
      <c r="A239">
        <v>228</v>
      </c>
      <c r="B239" s="65">
        <f t="shared" si="37"/>
        <v>228</v>
      </c>
      <c r="C239" s="65">
        <f>VLOOKUP(B239,'Oil Production'!$A$13:$I$252,7,FALSE)</f>
        <v>47.826835424959427</v>
      </c>
      <c r="D239" s="70">
        <f t="shared" si="39"/>
        <v>79.992500371122986</v>
      </c>
      <c r="E239" s="65">
        <f>D239*Royalties!$T$6</f>
        <v>503.13762875929308</v>
      </c>
      <c r="F239" s="65">
        <f>MIN((E239&lt;=Royalties!$N$10)*Royalties!$P$9+(E239&gt;=Royalties!$N$10)*(E239&lt;=Royalties!$N$11)*((E239-Royalties!$N$10)*Royalties!$O$10+Royalties!$P$10)+(E239&gt;=Royalties!$N$11)*(E239&lt;=Royalties!$N$12)*((E239-Royalties!$N$11)*Royalties!$O$11+Royalties!$P$11)+(E239&gt;Royalties!$N$12)*((E239-Royalties!$N$12)*Royalties!$O$12+Royalties!$P$12),Royalties!$O$14)</f>
        <v>0.24840587521612431</v>
      </c>
      <c r="G239" s="65">
        <f>(C239&lt;Royalties!$O$15)*(C239-Royalties!$O$15)*Royalties!$O$16</f>
        <v>-0.19733377217630479</v>
      </c>
      <c r="H239" s="83">
        <f>MAX(Royalties!$O$13,MIN(0.4,F239+G239))</f>
        <v>5.1072103039819516E-2</v>
      </c>
      <c r="I239" s="70">
        <f t="shared" si="43"/>
        <v>0</v>
      </c>
      <c r="J239" s="70">
        <f t="shared" si="40"/>
        <v>3825.7881504807051</v>
      </c>
      <c r="K239" s="70">
        <f>SUM(J$12:J239)</f>
        <v>10527082.138475919</v>
      </c>
      <c r="L239" s="70">
        <f t="shared" si="41"/>
        <v>5.1072103039819516E-2</v>
      </c>
      <c r="M239" s="70">
        <f>MAX(0,J239-I239)*H239+MIN(I239,J239)*Royalties!$O$17</f>
        <v>195.39104662987111</v>
      </c>
      <c r="N239" s="70">
        <f t="shared" si="38"/>
        <v>3630.3971038508339</v>
      </c>
      <c r="O239" s="70">
        <f t="shared" si="42"/>
        <v>0</v>
      </c>
    </row>
    <row r="240" spans="1:15" x14ac:dyDescent="0.4">
      <c r="A240">
        <v>229</v>
      </c>
      <c r="B240" s="65">
        <f t="shared" si="37"/>
        <v>229</v>
      </c>
      <c r="C240" s="65">
        <f>VLOOKUP(B240,'Oil Production'!$A$13:$I$252,7,FALSE)</f>
        <v>42.900539253343595</v>
      </c>
      <c r="D240" s="70">
        <f t="shared" si="39"/>
        <v>80.124614489029781</v>
      </c>
      <c r="E240" s="65">
        <f>D240*Royalties!$T$6</f>
        <v>503.96860145924444</v>
      </c>
      <c r="F240" s="65">
        <f>MIN((E240&lt;=Royalties!$N$10)*Royalties!$P$9+(E240&gt;=Royalties!$N$10)*(E240&lt;=Royalties!$N$11)*((E240-Royalties!$N$10)*Royalties!$O$10+Royalties!$P$10)+(E240&gt;=Royalties!$N$11)*(E240&lt;=Royalties!$N$12)*((E240-Royalties!$N$11)*Royalties!$O$11+Royalties!$P$11)+(E240&gt;Royalties!$N$12)*((E240-Royalties!$N$12)*Royalties!$O$12+Royalties!$P$12),Royalties!$O$14)</f>
        <v>0.24872995456910535</v>
      </c>
      <c r="G240" s="65">
        <f>(C240&lt;Royalties!$O$15)*(C240-Royalties!$O$15)*Royalties!$O$16</f>
        <v>-0.20398427200798616</v>
      </c>
      <c r="H240" s="83">
        <f>MAX(Royalties!$O$13,MIN(0.4,F240+G240))</f>
        <v>0.05</v>
      </c>
      <c r="I240" s="70">
        <f t="shared" si="43"/>
        <v>0</v>
      </c>
      <c r="J240" s="70">
        <f t="shared" si="40"/>
        <v>3437.3891690456453</v>
      </c>
      <c r="K240" s="70">
        <f>SUM(J$12:J240)</f>
        <v>10530519.527644964</v>
      </c>
      <c r="L240" s="70">
        <f t="shared" si="41"/>
        <v>5.000000000000001E-2</v>
      </c>
      <c r="M240" s="70">
        <f>MAX(0,J240-I240)*H240+MIN(I240,J240)*Royalties!$O$17</f>
        <v>171.86945845228229</v>
      </c>
      <c r="N240" s="70">
        <f t="shared" si="38"/>
        <v>3265.519710593363</v>
      </c>
      <c r="O240" s="70">
        <f t="shared" si="42"/>
        <v>0</v>
      </c>
    </row>
    <row r="241" spans="1:15" x14ac:dyDescent="0.4">
      <c r="A241">
        <v>230</v>
      </c>
      <c r="B241" s="65">
        <f t="shared" si="37"/>
        <v>230</v>
      </c>
      <c r="C241" s="65">
        <f>VLOOKUP(B241,'Oil Production'!$A$13:$I$252,7,FALSE)</f>
        <v>47.170900468248874</v>
      </c>
      <c r="D241" s="70">
        <f t="shared" si="39"/>
        <v>80.256946804143425</v>
      </c>
      <c r="E241" s="65">
        <f>D241*Royalties!$T$6</f>
        <v>504.80094657816937</v>
      </c>
      <c r="F241" s="65">
        <f>MIN((E241&lt;=Royalties!$N$10)*Royalties!$P$9+(E241&gt;=Royalties!$N$10)*(E241&lt;=Royalties!$N$11)*((E241-Royalties!$N$10)*Royalties!$O$10+Royalties!$P$10)+(E241&gt;=Royalties!$N$11)*(E241&lt;=Royalties!$N$12)*((E241-Royalties!$N$11)*Royalties!$O$11+Royalties!$P$11)+(E241&gt;Royalties!$N$12)*((E241-Royalties!$N$12)*Royalties!$O$12+Royalties!$P$12),Royalties!$O$14)</f>
        <v>0.24905456916548607</v>
      </c>
      <c r="G241" s="65">
        <f>(C241&lt;Royalties!$O$15)*(C241-Royalties!$O$15)*Royalties!$O$16</f>
        <v>-0.19821928436786404</v>
      </c>
      <c r="H241" s="83">
        <f>MAX(Royalties!$O$13,MIN(0.4,F241+G241))</f>
        <v>5.0835284797622032E-2</v>
      </c>
      <c r="I241" s="70">
        <f t="shared" si="43"/>
        <v>0</v>
      </c>
      <c r="J241" s="70">
        <f t="shared" si="40"/>
        <v>3785.7924495837942</v>
      </c>
      <c r="K241" s="70">
        <f>SUM(J$12:J241)</f>
        <v>10534305.320094548</v>
      </c>
      <c r="L241" s="70">
        <f t="shared" si="41"/>
        <v>5.0835284797622032E-2</v>
      </c>
      <c r="M241" s="70">
        <f>MAX(0,J241-I241)*H241+MIN(I241,J241)*Royalties!$O$17</f>
        <v>192.45183735927932</v>
      </c>
      <c r="N241" s="70">
        <f t="shared" si="38"/>
        <v>3593.3406122245151</v>
      </c>
      <c r="O241" s="70">
        <f t="shared" si="42"/>
        <v>0</v>
      </c>
    </row>
    <row r="242" spans="1:15" x14ac:dyDescent="0.4">
      <c r="A242">
        <v>231</v>
      </c>
      <c r="B242" s="65">
        <f t="shared" si="37"/>
        <v>231</v>
      </c>
      <c r="C242" s="65">
        <f>VLOOKUP(B242,'Oil Production'!$A$13:$I$252,7,FALSE)</f>
        <v>45.326545045478269</v>
      </c>
      <c r="D242" s="70">
        <f t="shared" si="39"/>
        <v>80.389497676834353</v>
      </c>
      <c r="E242" s="65">
        <f>D242*Royalties!$T$6</f>
        <v>505.63466638272951</v>
      </c>
      <c r="F242" s="65">
        <f>MIN((E242&lt;=Royalties!$N$10)*Royalties!$P$9+(E242&gt;=Royalties!$N$10)*(E242&lt;=Royalties!$N$11)*((E242-Royalties!$N$10)*Royalties!$O$10+Royalties!$P$10)+(E242&gt;=Royalties!$N$11)*(E242&lt;=Royalties!$N$12)*((E242-Royalties!$N$11)*Royalties!$O$11+Royalties!$P$11)+(E242&gt;Royalties!$N$12)*((E242-Royalties!$N$12)*Royalties!$O$12+Royalties!$P$12),Royalties!$O$14)</f>
        <v>0.24937971988926452</v>
      </c>
      <c r="G242" s="65">
        <f>(C242&lt;Royalties!$O$15)*(C242-Royalties!$O$15)*Royalties!$O$16</f>
        <v>-0.20070916418860435</v>
      </c>
      <c r="H242" s="83">
        <f>MAX(Royalties!$O$13,MIN(0.4,F242+G242))</f>
        <v>0.05</v>
      </c>
      <c r="I242" s="70">
        <f t="shared" si="43"/>
        <v>0</v>
      </c>
      <c r="J242" s="70">
        <f t="shared" si="40"/>
        <v>3643.7781876324029</v>
      </c>
      <c r="K242" s="70">
        <f>SUM(J$12:J242)</f>
        <v>10537949.098282181</v>
      </c>
      <c r="L242" s="70">
        <f t="shared" si="41"/>
        <v>0.05</v>
      </c>
      <c r="M242" s="70">
        <f>MAX(0,J242-I242)*H242+MIN(I242,J242)*Royalties!$O$17</f>
        <v>182.18890938162016</v>
      </c>
      <c r="N242" s="70">
        <f t="shared" si="38"/>
        <v>3461.5892782507826</v>
      </c>
      <c r="O242" s="70">
        <f t="shared" si="42"/>
        <v>0</v>
      </c>
    </row>
    <row r="243" spans="1:15" x14ac:dyDescent="0.4">
      <c r="A243">
        <v>232</v>
      </c>
      <c r="B243" s="65">
        <f t="shared" si="37"/>
        <v>232</v>
      </c>
      <c r="C243" s="65">
        <f>VLOOKUP(B243,'Oil Production'!$A$13:$I$252,7,FALSE)</f>
        <v>46.507735561113805</v>
      </c>
      <c r="D243" s="70">
        <f t="shared" si="39"/>
        <v>80.522267468068165</v>
      </c>
      <c r="E243" s="65">
        <f>D243*Royalties!$T$6</f>
        <v>506.46976314332983</v>
      </c>
      <c r="F243" s="65">
        <f>MIN((E243&lt;=Royalties!$N$10)*Royalties!$P$9+(E243&gt;=Royalties!$N$10)*(E243&lt;=Royalties!$N$11)*((E243-Royalties!$N$10)*Royalties!$O$10+Royalties!$P$10)+(E243&gt;=Royalties!$N$11)*(E243&lt;=Royalties!$N$12)*((E243-Royalties!$N$11)*Royalties!$O$11+Royalties!$P$11)+(E243&gt;Royalties!$N$12)*((E243-Royalties!$N$12)*Royalties!$O$12+Royalties!$P$12),Royalties!$O$14)</f>
        <v>0.24970540762589863</v>
      </c>
      <c r="G243" s="65">
        <f>(C243&lt;Royalties!$O$15)*(C243-Royalties!$O$15)*Royalties!$O$16</f>
        <v>-0.19911455699249636</v>
      </c>
      <c r="H243" s="83">
        <f>MAX(Royalties!$O$13,MIN(0.4,F243+G243))</f>
        <v>5.0590850633402268E-2</v>
      </c>
      <c r="I243" s="70">
        <f t="shared" si="43"/>
        <v>0</v>
      </c>
      <c r="J243" s="70">
        <f t="shared" si="40"/>
        <v>3744.9083221861911</v>
      </c>
      <c r="K243" s="70">
        <f>SUM(J$12:J243)</f>
        <v>10541694.006604366</v>
      </c>
      <c r="L243" s="70">
        <f t="shared" si="41"/>
        <v>5.0590850633402268E-2</v>
      </c>
      <c r="M243" s="70">
        <f>MAX(0,J243-I243)*H243+MIN(I243,J243)*Royalties!$O$17</f>
        <v>189.4580975635067</v>
      </c>
      <c r="N243" s="70">
        <f t="shared" si="38"/>
        <v>3555.4502246226843</v>
      </c>
      <c r="O243" s="70">
        <f t="shared" si="42"/>
        <v>0</v>
      </c>
    </row>
    <row r="244" spans="1:15" x14ac:dyDescent="0.4">
      <c r="A244">
        <v>233</v>
      </c>
      <c r="B244" s="65">
        <f t="shared" si="37"/>
        <v>233</v>
      </c>
      <c r="C244" s="65">
        <f>VLOOKUP(B244,'Oil Production'!$A$13:$I$252,7,FALSE)</f>
        <v>44.691985993384151</v>
      </c>
      <c r="D244" s="70">
        <f t="shared" si="39"/>
        <v>80.655256539406651</v>
      </c>
      <c r="E244" s="65">
        <f>D244*Royalties!$T$6</f>
        <v>507.30623913412535</v>
      </c>
      <c r="F244" s="65">
        <f>MIN((E244&lt;=Royalties!$N$10)*Royalties!$P$9+(E244&gt;=Royalties!$N$10)*(E244&lt;=Royalties!$N$11)*((E244-Royalties!$N$10)*Royalties!$O$10+Royalties!$P$10)+(E244&gt;=Royalties!$N$11)*(E244&lt;=Royalties!$N$12)*((E244-Royalties!$N$11)*Royalties!$O$11+Royalties!$P$11)+(E244&gt;Royalties!$N$12)*((E244-Royalties!$N$12)*Royalties!$O$12+Royalties!$P$12),Royalties!$O$14)</f>
        <v>0.25003163326230887</v>
      </c>
      <c r="G244" s="65">
        <f>(C244&lt;Royalties!$O$15)*(C244-Royalties!$O$15)*Royalties!$O$16</f>
        <v>-0.20156581890893141</v>
      </c>
      <c r="H244" s="83">
        <f>MAX(Royalties!$O$13,MIN(0.4,F244+G244))</f>
        <v>0.05</v>
      </c>
      <c r="I244" s="70">
        <f t="shared" si="43"/>
        <v>0</v>
      </c>
      <c r="J244" s="70">
        <f t="shared" si="40"/>
        <v>3604.6435955519673</v>
      </c>
      <c r="K244" s="70">
        <f>SUM(J$12:J244)</f>
        <v>10545298.650199918</v>
      </c>
      <c r="L244" s="70">
        <f t="shared" si="41"/>
        <v>5.000000000000001E-2</v>
      </c>
      <c r="M244" s="70">
        <f>MAX(0,J244-I244)*H244+MIN(I244,J244)*Royalties!$O$17</f>
        <v>180.23217977759839</v>
      </c>
      <c r="N244" s="70">
        <f t="shared" si="38"/>
        <v>3424.4114157743688</v>
      </c>
      <c r="O244" s="70">
        <f t="shared" si="42"/>
        <v>0</v>
      </c>
    </row>
    <row r="245" spans="1:15" x14ac:dyDescent="0.4">
      <c r="A245">
        <v>234</v>
      </c>
      <c r="B245" s="65">
        <f t="shared" si="37"/>
        <v>234</v>
      </c>
      <c r="C245" s="65">
        <f>VLOOKUP(B245,'Oil Production'!$A$13:$I$252,7,FALSE)</f>
        <v>45.859363094437867</v>
      </c>
      <c r="D245" s="70">
        <f t="shared" si="39"/>
        <v>80.78846525300871</v>
      </c>
      <c r="E245" s="65">
        <f>D245*Royalties!$T$6</f>
        <v>508.14409663302672</v>
      </c>
      <c r="F245" s="65">
        <f>MIN((E245&lt;=Royalties!$N$10)*Royalties!$P$9+(E245&gt;=Royalties!$N$10)*(E245&lt;=Royalties!$N$11)*((E245-Royalties!$N$10)*Royalties!$O$10+Royalties!$P$10)+(E245&gt;=Royalties!$N$11)*(E245&lt;=Royalties!$N$12)*((E245-Royalties!$N$11)*Royalties!$O$11+Royalties!$P$11)+(E245&gt;Royalties!$N$12)*((E245-Royalties!$N$12)*Royalties!$O$12+Royalties!$P$12),Royalties!$O$14)</f>
        <v>0.2503583976868804</v>
      </c>
      <c r="G245" s="65">
        <f>(C245&lt;Royalties!$O$15)*(C245-Royalties!$O$15)*Royalties!$O$16</f>
        <v>-0.19998985982250889</v>
      </c>
      <c r="H245" s="83">
        <f>MAX(Royalties!$O$13,MIN(0.4,F245+G245))</f>
        <v>5.036853786437151E-2</v>
      </c>
      <c r="I245" s="70">
        <f t="shared" si="43"/>
        <v>0</v>
      </c>
      <c r="J245" s="70">
        <f t="shared" si="40"/>
        <v>3704.9075618801035</v>
      </c>
      <c r="K245" s="70">
        <f>SUM(J$12:J245)</f>
        <v>10549003.557761798</v>
      </c>
      <c r="L245" s="70">
        <f t="shared" si="41"/>
        <v>5.036853786437151E-2</v>
      </c>
      <c r="M245" s="70">
        <f>MAX(0,J245-I245)*H245+MIN(I245,J245)*Royalties!$O$17</f>
        <v>186.61077681455433</v>
      </c>
      <c r="N245" s="70">
        <f t="shared" si="38"/>
        <v>3518.2967850655491</v>
      </c>
      <c r="O245" s="70">
        <f t="shared" si="42"/>
        <v>0</v>
      </c>
    </row>
    <row r="246" spans="1:15" x14ac:dyDescent="0.4">
      <c r="A246">
        <v>235</v>
      </c>
      <c r="B246" s="65">
        <f t="shared" si="37"/>
        <v>235</v>
      </c>
      <c r="C246" s="65">
        <f>VLOOKUP(B246,'Oil Production'!$A$13:$I$252,7,FALSE)</f>
        <v>45.535386395058595</v>
      </c>
      <c r="D246" s="70">
        <f t="shared" si="39"/>
        <v>80.921893971631405</v>
      </c>
      <c r="E246" s="65">
        <f>D246*Royalties!$T$6</f>
        <v>508.98333792170695</v>
      </c>
      <c r="F246" s="65">
        <f>MIN((E246&lt;=Royalties!$N$10)*Royalties!$P$9+(E246&gt;=Royalties!$N$10)*(E246&lt;=Royalties!$N$11)*((E246-Royalties!$N$10)*Royalties!$O$10+Royalties!$P$10)+(E246&gt;=Royalties!$N$11)*(E246&lt;=Royalties!$N$12)*((E246-Royalties!$N$11)*Royalties!$O$11+Royalties!$P$11)+(E246&gt;Royalties!$N$12)*((E246-Royalties!$N$12)*Royalties!$O$12+Royalties!$P$12),Royalties!$O$14)</f>
        <v>0.2506857017894657</v>
      </c>
      <c r="G246" s="65">
        <f>(C246&lt;Royalties!$O$15)*(C246-Royalties!$O$15)*Royalties!$O$16</f>
        <v>-0.2004272283666709</v>
      </c>
      <c r="H246" s="83">
        <f>MAX(Royalties!$O$13,MIN(0.4,F246+G246))</f>
        <v>5.0258473422794797E-2</v>
      </c>
      <c r="I246" s="70">
        <f t="shared" si="43"/>
        <v>0</v>
      </c>
      <c r="J246" s="70">
        <f t="shared" si="40"/>
        <v>3684.8097098181988</v>
      </c>
      <c r="K246" s="70">
        <f>SUM(J$12:J246)</f>
        <v>10552688.367471617</v>
      </c>
      <c r="L246" s="70">
        <f t="shared" si="41"/>
        <v>5.0258473422794797E-2</v>
      </c>
      <c r="M246" s="70">
        <f>MAX(0,J246-I246)*H246+MIN(I246,J246)*Royalties!$O$17</f>
        <v>185.19291086895416</v>
      </c>
      <c r="N246" s="70">
        <f t="shared" si="38"/>
        <v>3499.6167989492446</v>
      </c>
      <c r="O246" s="70">
        <f t="shared" si="42"/>
        <v>0</v>
      </c>
    </row>
    <row r="247" spans="1:15" x14ac:dyDescent="0.4">
      <c r="A247">
        <v>236</v>
      </c>
      <c r="B247" s="65">
        <f t="shared" si="37"/>
        <v>236</v>
      </c>
      <c r="C247" s="65">
        <f>VLOOKUP(B247,'Oil Production'!$A$13:$I$252,7,FALSE)</f>
        <v>43.761469094402855</v>
      </c>
      <c r="D247" s="70">
        <f t="shared" si="39"/>
        <v>81.055543058630917</v>
      </c>
      <c r="E247" s="65">
        <f>D247*Royalties!$T$6</f>
        <v>509.82396528560736</v>
      </c>
      <c r="F247" s="65">
        <f>MIN((E247&lt;=Royalties!$N$10)*Royalties!$P$9+(E247&gt;=Royalties!$N$10)*(E247&lt;=Royalties!$N$11)*((E247-Royalties!$N$10)*Royalties!$O$10+Royalties!$P$10)+(E247&gt;=Royalties!$N$11)*(E247&lt;=Royalties!$N$12)*((E247-Royalties!$N$11)*Royalties!$O$11+Royalties!$P$11)+(E247&gt;Royalties!$N$12)*((E247-Royalties!$N$12)*Royalties!$O$12+Royalties!$P$12),Royalties!$O$14)</f>
        <v>0.25101354646138685</v>
      </c>
      <c r="G247" s="65">
        <f>(C247&lt;Royalties!$O$15)*(C247-Royalties!$O$15)*Royalties!$O$16</f>
        <v>-0.20282201672255615</v>
      </c>
      <c r="H247" s="83">
        <f>MAX(Royalties!$O$13,MIN(0.4,F247+G247))</f>
        <v>0.05</v>
      </c>
      <c r="I247" s="70">
        <f t="shared" si="43"/>
        <v>0</v>
      </c>
      <c r="J247" s="70">
        <f t="shared" si="40"/>
        <v>3547.1096424903167</v>
      </c>
      <c r="K247" s="70">
        <f>SUM(J$12:J247)</f>
        <v>10556235.477114107</v>
      </c>
      <c r="L247" s="70">
        <f t="shared" si="41"/>
        <v>0.05</v>
      </c>
      <c r="M247" s="70">
        <f>MAX(0,J247-I247)*H247+MIN(I247,J247)*Royalties!$O$17</f>
        <v>177.35548212451585</v>
      </c>
      <c r="N247" s="70">
        <f t="shared" si="38"/>
        <v>3369.754160365801</v>
      </c>
      <c r="O247" s="70">
        <f t="shared" si="42"/>
        <v>0</v>
      </c>
    </row>
    <row r="248" spans="1:15" x14ac:dyDescent="0.4">
      <c r="A248">
        <v>237</v>
      </c>
      <c r="B248" s="65">
        <f t="shared" si="37"/>
        <v>237</v>
      </c>
      <c r="C248" s="65">
        <f>VLOOKUP(B248,'Oil Production'!$A$13:$I$252,7,FALSE)</f>
        <v>44.908478401019238</v>
      </c>
      <c r="D248" s="70">
        <f t="shared" si="39"/>
        <v>81.189412877963548</v>
      </c>
      <c r="E248" s="65">
        <f>D248*Royalties!$T$6</f>
        <v>510.66598101394391</v>
      </c>
      <c r="F248" s="65">
        <f>MIN((E248&lt;=Royalties!$N$10)*Royalties!$P$9+(E248&gt;=Royalties!$N$10)*(E248&lt;=Royalties!$N$11)*((E248-Royalties!$N$10)*Royalties!$O$10+Royalties!$P$10)+(E248&gt;=Royalties!$N$11)*(E248&lt;=Royalties!$N$12)*((E248-Royalties!$N$11)*Royalties!$O$11+Royalties!$P$11)+(E248&gt;Royalties!$N$12)*((E248-Royalties!$N$12)*Royalties!$O$12+Royalties!$P$12),Royalties!$O$14)</f>
        <v>0.25134193259543813</v>
      </c>
      <c r="G248" s="65">
        <f>(C248&lt;Royalties!$O$15)*(C248-Royalties!$O$15)*Royalties!$O$16</f>
        <v>-0.20127355415862405</v>
      </c>
      <c r="H248" s="83">
        <f>MAX(Royalties!$O$13,MIN(0.4,F248+G248))</f>
        <v>5.0068378436814082E-2</v>
      </c>
      <c r="I248" s="70">
        <f t="shared" si="43"/>
        <v>0</v>
      </c>
      <c r="J248" s="70">
        <f t="shared" si="40"/>
        <v>3646.0929946214592</v>
      </c>
      <c r="K248" s="70">
        <f>SUM(J$12:J248)</f>
        <v>10559881.570108728</v>
      </c>
      <c r="L248" s="70">
        <f t="shared" si="41"/>
        <v>5.0068378436814082E-2</v>
      </c>
      <c r="M248" s="70">
        <f>MAX(0,J248-I248)*H248+MIN(I248,J248)*Royalties!$O$17</f>
        <v>182.55396387052394</v>
      </c>
      <c r="N248" s="70">
        <f t="shared" si="38"/>
        <v>3463.5390307509351</v>
      </c>
      <c r="O248" s="70">
        <f t="shared" si="42"/>
        <v>0</v>
      </c>
    </row>
    <row r="249" spans="1:15" x14ac:dyDescent="0.4">
      <c r="A249">
        <v>238</v>
      </c>
      <c r="B249" s="65">
        <f t="shared" si="37"/>
        <v>238</v>
      </c>
      <c r="C249" s="65">
        <f>VLOOKUP(B249,'Oil Production'!$A$13:$I$252,7,FALSE)</f>
        <v>43.161461802141275</v>
      </c>
      <c r="D249" s="70">
        <f t="shared" si="39"/>
        <v>81.323503794186678</v>
      </c>
      <c r="E249" s="65">
        <f>D249*Royalties!$T$6</f>
        <v>511.50938739971332</v>
      </c>
      <c r="F249" s="65">
        <f>MIN((E249&lt;=Royalties!$N$10)*Royalties!$P$9+(E249&gt;=Royalties!$N$10)*(E249&lt;=Royalties!$N$11)*((E249-Royalties!$N$10)*Royalties!$O$10+Royalties!$P$10)+(E249&gt;=Royalties!$N$11)*(E249&lt;=Royalties!$N$12)*((E249-Royalties!$N$11)*Royalties!$O$11+Royalties!$P$11)+(E249&gt;Royalties!$N$12)*((E249-Royalties!$N$12)*Royalties!$O$12+Royalties!$P$12),Royalties!$O$14)</f>
        <v>0.25167086108588821</v>
      </c>
      <c r="G249" s="65">
        <f>(C249&lt;Royalties!$O$15)*(C249-Royalties!$O$15)*Royalties!$O$16</f>
        <v>-0.2036320265671093</v>
      </c>
      <c r="H249" s="83">
        <f>MAX(Royalties!$O$13,MIN(0.4,F249+G249))</f>
        <v>0.05</v>
      </c>
      <c r="I249" s="70">
        <f t="shared" si="43"/>
        <v>0</v>
      </c>
      <c r="J249" s="70">
        <f t="shared" si="40"/>
        <v>3510.0413026290794</v>
      </c>
      <c r="K249" s="70">
        <f>SUM(J$12:J249)</f>
        <v>10563391.611411357</v>
      </c>
      <c r="L249" s="70">
        <f t="shared" si="41"/>
        <v>0.05</v>
      </c>
      <c r="M249" s="70">
        <f>MAX(0,J249-I249)*H249+MIN(I249,J249)*Royalties!$O$17</f>
        <v>175.50206513145397</v>
      </c>
      <c r="N249" s="70">
        <f t="shared" si="38"/>
        <v>3334.5392374976254</v>
      </c>
      <c r="O249" s="70">
        <f t="shared" si="42"/>
        <v>0</v>
      </c>
    </row>
    <row r="250" spans="1:15" x14ac:dyDescent="0.4">
      <c r="A250">
        <v>239</v>
      </c>
      <c r="B250" s="65">
        <f t="shared" si="37"/>
        <v>239</v>
      </c>
      <c r="C250" s="65">
        <f>VLOOKUP(B250,'Oil Production'!$A$13:$I$252,7,FALSE)</f>
        <v>44.295266756409546</v>
      </c>
      <c r="D250" s="70">
        <f t="shared" si="39"/>
        <v>81.4578161724598</v>
      </c>
      <c r="E250" s="65">
        <f>D250*Royalties!$T$6</f>
        <v>512.35418673969934</v>
      </c>
      <c r="F250" s="65">
        <f>MIN((E250&lt;=Royalties!$N$10)*Royalties!$P$9+(E250&gt;=Royalties!$N$10)*(E250&lt;=Royalties!$N$11)*((E250-Royalties!$N$10)*Royalties!$O$10+Royalties!$P$10)+(E250&gt;=Royalties!$N$11)*(E250&lt;=Royalties!$N$12)*((E250-Royalties!$N$11)*Royalties!$O$11+Royalties!$P$11)+(E250&gt;Royalties!$N$12)*((E250-Royalties!$N$12)*Royalties!$O$12+Royalties!$P$12),Royalties!$O$14)</f>
        <v>0.25200033282848278</v>
      </c>
      <c r="G250" s="65">
        <f>(C250&lt;Royalties!$O$15)*(C250-Royalties!$O$15)*Royalties!$O$16</f>
        <v>-0.20210138987884713</v>
      </c>
      <c r="H250" s="83">
        <f>MAX(Royalties!$O$13,MIN(0.4,F250+G250))</f>
        <v>0.05</v>
      </c>
      <c r="I250" s="70">
        <f t="shared" si="43"/>
        <v>0</v>
      </c>
      <c r="J250" s="70">
        <f t="shared" si="40"/>
        <v>3608.1956967536785</v>
      </c>
      <c r="K250" s="70">
        <f>SUM(J$12:J250)</f>
        <v>10566999.807108112</v>
      </c>
      <c r="L250" s="70">
        <f t="shared" si="41"/>
        <v>0.05</v>
      </c>
      <c r="M250" s="70">
        <f>MAX(0,J250-I250)*H250+MIN(I250,J250)*Royalties!$O$17</f>
        <v>180.40978483768393</v>
      </c>
      <c r="N250" s="70">
        <f t="shared" si="38"/>
        <v>3427.7859119159943</v>
      </c>
      <c r="O250" s="70">
        <f t="shared" si="42"/>
        <v>0</v>
      </c>
    </row>
    <row r="251" spans="1:15" x14ac:dyDescent="0.4">
      <c r="A251">
        <v>240</v>
      </c>
      <c r="B251" s="65">
        <f t="shared" si="37"/>
        <v>240</v>
      </c>
      <c r="C251" s="65">
        <f>VLOOKUP(B251,'Oil Production'!$A$13:$I$252,7,FALSE)</f>
        <v>43.988752095639938</v>
      </c>
      <c r="D251" s="70">
        <f t="shared" si="39"/>
        <v>81.59235037854549</v>
      </c>
      <c r="E251" s="65">
        <f>D251*Royalties!$T$6</f>
        <v>513.20038133447918</v>
      </c>
      <c r="F251" s="65">
        <f>MIN((E251&lt;=Royalties!$N$10)*Royalties!$P$9+(E251&gt;=Royalties!$N$10)*(E251&lt;=Royalties!$N$11)*((E251-Royalties!$N$10)*Royalties!$O$10+Royalties!$P$10)+(E251&gt;=Royalties!$N$11)*(E251&lt;=Royalties!$N$12)*((E251-Royalties!$N$11)*Royalties!$O$11+Royalties!$P$11)+(E251&gt;Royalties!$N$12)*((E251-Royalties!$N$12)*Royalties!$O$12+Royalties!$P$12),Royalties!$O$14)</f>
        <v>0.25233034872044691</v>
      </c>
      <c r="G251" s="65">
        <f>(C251&lt;Royalties!$O$15)*(C251-Royalties!$O$15)*Royalties!$O$16</f>
        <v>-0.20251518467088608</v>
      </c>
      <c r="H251" s="83">
        <f>MAX(Royalties!$O$13,MIN(0.4,F251+G251))</f>
        <v>0.05</v>
      </c>
      <c r="I251" s="70">
        <f t="shared" si="43"/>
        <v>0</v>
      </c>
      <c r="J251" s="70">
        <f t="shared" si="40"/>
        <v>3589.1456737024309</v>
      </c>
      <c r="K251" s="70">
        <f>SUM(J$12:J251)</f>
        <v>10570588.952781813</v>
      </c>
      <c r="L251" s="70">
        <f t="shared" si="41"/>
        <v>0.05</v>
      </c>
      <c r="M251" s="70">
        <f>MAX(0,J251-I251)*H251+MIN(I251,J251)*Royalties!$O$17</f>
        <v>179.45728368512155</v>
      </c>
      <c r="N251" s="70">
        <f t="shared" si="38"/>
        <v>3409.6883900173093</v>
      </c>
      <c r="O251" s="70">
        <f t="shared" si="42"/>
        <v>0</v>
      </c>
    </row>
    <row r="252" spans="1:15" x14ac:dyDescent="0.4">
      <c r="B252" s="65"/>
      <c r="C252" s="65"/>
    </row>
    <row r="253" spans="1:15" x14ac:dyDescent="0.4">
      <c r="B253" s="65"/>
      <c r="C253" s="65"/>
    </row>
    <row r="254" spans="1:15" x14ac:dyDescent="0.4">
      <c r="B254" s="65"/>
      <c r="C254" s="65"/>
    </row>
    <row r="255" spans="1:15" x14ac:dyDescent="0.4">
      <c r="B255" s="65"/>
      <c r="C255" s="65"/>
    </row>
    <row r="256" spans="1:15" x14ac:dyDescent="0.4">
      <c r="B256" s="65"/>
      <c r="C256" s="65"/>
    </row>
    <row r="257" spans="2:3" x14ac:dyDescent="0.4">
      <c r="B257" s="65"/>
      <c r="C257" s="65"/>
    </row>
    <row r="258" spans="2:3" x14ac:dyDescent="0.4">
      <c r="B258" s="65"/>
      <c r="C258" s="65"/>
    </row>
    <row r="259" spans="2:3" x14ac:dyDescent="0.4">
      <c r="B259" s="65"/>
      <c r="C259" s="65"/>
    </row>
    <row r="260" spans="2:3" x14ac:dyDescent="0.4">
      <c r="B260" s="65"/>
      <c r="C260" s="65"/>
    </row>
    <row r="261" spans="2:3" x14ac:dyDescent="0.4">
      <c r="B261" s="65"/>
      <c r="C261" s="65"/>
    </row>
  </sheetData>
  <mergeCells count="7">
    <mergeCell ref="R42:Y42"/>
    <mergeCell ref="P27:Q27"/>
    <mergeCell ref="P44:Q44"/>
    <mergeCell ref="P45:Y46"/>
    <mergeCell ref="P28:P38"/>
    <mergeCell ref="R27:Y27"/>
    <mergeCell ref="P39:Y4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9A-15CE-42C1-B5CB-52D0B8148D1D}">
  <sheetPr codeName="Sheet3"/>
  <dimension ref="A1:BC246"/>
  <sheetViews>
    <sheetView zoomScale="70" zoomScaleNormal="70" workbookViewId="0">
      <selection activeCell="Q13" sqref="Q13"/>
    </sheetView>
  </sheetViews>
  <sheetFormatPr defaultRowHeight="15.9" x14ac:dyDescent="0.45"/>
  <cols>
    <col min="1" max="1" width="17.765625" style="1" customWidth="1"/>
    <col min="2" max="2" width="13.15234375" style="1" customWidth="1"/>
    <col min="3" max="3" width="12.61328125" style="1" customWidth="1"/>
    <col min="4" max="5" width="13.69140625" style="1" customWidth="1"/>
    <col min="6" max="7" width="9.23046875" style="1"/>
    <col min="8" max="8" width="16.69140625" style="1" customWidth="1"/>
    <col min="9" max="13" width="14.3828125" style="1" customWidth="1"/>
    <col min="14" max="14" width="12.765625" style="1" customWidth="1"/>
    <col min="15" max="15" width="13.07421875" style="1" customWidth="1"/>
    <col min="16" max="17" width="12.765625" style="1" customWidth="1"/>
    <col min="18" max="19" width="15.4609375" style="1" customWidth="1"/>
    <col min="23" max="23" width="9.23046875" customWidth="1"/>
    <col min="29" max="32" width="15.4609375" style="1" customWidth="1"/>
    <col min="33" max="34" width="14.3828125" style="1" customWidth="1"/>
    <col min="35" max="37" width="9.23046875" style="1"/>
    <col min="38" max="38" width="13.84375" style="1" customWidth="1"/>
    <col min="39" max="53" width="11.84375" style="1" customWidth="1"/>
    <col min="54" max="16384" width="9.23046875" style="1"/>
  </cols>
  <sheetData>
    <row r="1" spans="1:55" ht="20.6" x14ac:dyDescent="0.55000000000000004">
      <c r="A1" s="1" t="s">
        <v>109</v>
      </c>
      <c r="H1" s="26"/>
      <c r="S1" s="1" t="s">
        <v>27</v>
      </c>
    </row>
    <row r="2" spans="1:55" x14ac:dyDescent="0.45">
      <c r="S2" s="1" t="s">
        <v>28</v>
      </c>
    </row>
    <row r="3" spans="1:55" x14ac:dyDescent="0.45">
      <c r="E3" s="1">
        <f>E4/T10</f>
        <v>1215.6041547820098</v>
      </c>
      <c r="F3" s="1">
        <f>E3/6.28981</f>
        <v>193.26563994492835</v>
      </c>
      <c r="Q3" s="17"/>
      <c r="S3" s="1" t="s">
        <v>29</v>
      </c>
    </row>
    <row r="4" spans="1:55" x14ac:dyDescent="0.45">
      <c r="D4" s="1" t="s">
        <v>38</v>
      </c>
      <c r="E4" s="1">
        <f>E5*1000</f>
        <v>12196.482329750521</v>
      </c>
      <c r="H4" s="1" t="s">
        <v>39</v>
      </c>
      <c r="S4" s="1" t="s">
        <v>30</v>
      </c>
    </row>
    <row r="5" spans="1:55" s="17" customFormat="1" ht="63.75" customHeight="1" x14ac:dyDescent="0.45">
      <c r="A5" s="1"/>
      <c r="B5" s="1"/>
      <c r="C5" s="1"/>
      <c r="D5" s="1"/>
      <c r="E5" s="1">
        <f>E6/T7</f>
        <v>12.196482329750522</v>
      </c>
      <c r="F5" s="1"/>
      <c r="G5" s="1"/>
      <c r="H5" s="1" t="s">
        <v>40</v>
      </c>
      <c r="I5" s="1" t="s">
        <v>41</v>
      </c>
      <c r="J5" s="1"/>
      <c r="K5" s="1" t="s">
        <v>40</v>
      </c>
      <c r="L5" s="1" t="s">
        <v>41</v>
      </c>
      <c r="M5" s="1"/>
      <c r="N5" s="1"/>
      <c r="O5" s="1"/>
      <c r="P5" s="1"/>
      <c r="Q5" s="1"/>
      <c r="S5" s="17" t="s">
        <v>112</v>
      </c>
    </row>
    <row r="6" spans="1:55" s="17" customFormat="1" ht="76.5" customHeight="1" x14ac:dyDescent="0.45">
      <c r="A6" s="1"/>
      <c r="B6" s="1"/>
      <c r="C6" s="1" t="s">
        <v>42</v>
      </c>
      <c r="D6" s="1"/>
      <c r="E6" s="1">
        <v>345.5</v>
      </c>
      <c r="F6" s="27">
        <v>4.9370000000000002E-4</v>
      </c>
      <c r="G6" s="1"/>
      <c r="H6" s="1" t="s">
        <v>43</v>
      </c>
      <c r="I6" s="1">
        <v>194</v>
      </c>
      <c r="J6" s="27">
        <v>1.3500000000000001E-3</v>
      </c>
      <c r="K6" s="1" t="s">
        <v>43</v>
      </c>
      <c r="L6" s="1">
        <v>194</v>
      </c>
      <c r="M6" s="27">
        <v>1.3500000000000001E-3</v>
      </c>
      <c r="N6" s="1" t="s">
        <v>44</v>
      </c>
      <c r="O6" s="1">
        <v>194</v>
      </c>
      <c r="P6" s="27">
        <v>1.3500000000000001E-3</v>
      </c>
      <c r="Q6" s="1"/>
      <c r="S6" s="1" t="s">
        <v>32</v>
      </c>
      <c r="T6" s="1">
        <v>6.2898100000000001</v>
      </c>
    </row>
    <row r="7" spans="1:55" x14ac:dyDescent="0.45">
      <c r="C7" s="28"/>
      <c r="D7" s="28" t="s">
        <v>45</v>
      </c>
      <c r="E7" s="28"/>
      <c r="F7" s="28"/>
      <c r="G7" s="28"/>
      <c r="H7" s="29"/>
      <c r="I7" s="29" t="s">
        <v>31</v>
      </c>
      <c r="J7" s="29"/>
      <c r="K7" s="30"/>
      <c r="L7" s="30" t="s">
        <v>46</v>
      </c>
      <c r="M7" s="30"/>
      <c r="N7" s="31"/>
      <c r="O7" s="31" t="s">
        <v>47</v>
      </c>
      <c r="P7" s="31"/>
      <c r="S7" s="1" t="s">
        <v>33</v>
      </c>
      <c r="T7" s="1">
        <v>28.327839999999998</v>
      </c>
      <c r="AC7" s="18"/>
      <c r="AD7" s="18"/>
      <c r="AE7" s="18"/>
      <c r="AF7" s="18"/>
      <c r="AG7" s="18"/>
      <c r="AQ7" s="19"/>
      <c r="AR7" s="20"/>
      <c r="AS7" s="21"/>
      <c r="AT7" s="21"/>
      <c r="AU7" s="21"/>
      <c r="AV7" s="21"/>
      <c r="AW7" s="21"/>
      <c r="AX7" s="21"/>
      <c r="AY7" s="22"/>
      <c r="AZ7" s="23"/>
      <c r="BA7" s="23"/>
      <c r="BB7" s="23"/>
      <c r="BC7" s="23"/>
    </row>
    <row r="8" spans="1:55" x14ac:dyDescent="0.45">
      <c r="A8" s="1" t="s">
        <v>45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52</v>
      </c>
      <c r="K8" s="1" t="s">
        <v>53</v>
      </c>
      <c r="L8" s="1" t="s">
        <v>54</v>
      </c>
      <c r="M8" s="1" t="s">
        <v>52</v>
      </c>
      <c r="N8" s="1" t="s">
        <v>53</v>
      </c>
      <c r="O8" s="1" t="s">
        <v>54</v>
      </c>
      <c r="P8" s="1" t="s">
        <v>52</v>
      </c>
      <c r="S8" s="1" t="s">
        <v>34</v>
      </c>
      <c r="T8" s="1">
        <v>2823.3911277846605</v>
      </c>
      <c r="AC8" s="18"/>
      <c r="AD8" s="18"/>
      <c r="AE8" s="18"/>
      <c r="AF8" s="18"/>
      <c r="AG8" s="18"/>
      <c r="AQ8" s="19"/>
      <c r="AR8" s="24"/>
      <c r="AY8" s="25"/>
      <c r="AZ8" s="23"/>
      <c r="BA8" s="23"/>
      <c r="BB8" s="23"/>
      <c r="BC8" s="23"/>
    </row>
    <row r="9" spans="1:55" x14ac:dyDescent="0.45">
      <c r="A9" s="1">
        <v>1</v>
      </c>
      <c r="B9" s="1" t="s">
        <v>55</v>
      </c>
      <c r="C9" s="1">
        <v>0</v>
      </c>
      <c r="D9" s="1">
        <v>0</v>
      </c>
      <c r="E9" s="1">
        <v>0</v>
      </c>
      <c r="F9" s="1">
        <v>0</v>
      </c>
      <c r="G9" s="1">
        <v>0.05</v>
      </c>
      <c r="H9" s="1">
        <v>0</v>
      </c>
      <c r="I9" s="1">
        <v>0</v>
      </c>
      <c r="J9" s="1">
        <v>0.1</v>
      </c>
      <c r="K9" s="1">
        <v>0</v>
      </c>
      <c r="L9" s="27">
        <v>0</v>
      </c>
      <c r="M9" s="1">
        <v>0.1</v>
      </c>
      <c r="N9" s="1">
        <v>0</v>
      </c>
      <c r="O9" s="68">
        <v>0</v>
      </c>
      <c r="P9" s="68">
        <v>0.1</v>
      </c>
      <c r="S9" s="1" t="s">
        <v>35</v>
      </c>
      <c r="T9" s="1">
        <v>1.055056</v>
      </c>
      <c r="AC9" s="18"/>
      <c r="AD9" s="18"/>
      <c r="AE9" s="18"/>
      <c r="AF9" s="18"/>
      <c r="AG9" s="18"/>
      <c r="AQ9" s="19"/>
      <c r="AR9" s="24"/>
      <c r="AY9" s="25"/>
      <c r="AZ9" s="23"/>
      <c r="BA9" s="23"/>
      <c r="BB9" s="23"/>
      <c r="BC9" s="23"/>
    </row>
    <row r="10" spans="1:55" x14ac:dyDescent="0.45">
      <c r="A10" s="1">
        <v>2</v>
      </c>
      <c r="B10" s="1" t="s">
        <v>56</v>
      </c>
      <c r="C10" s="1">
        <v>2.4</v>
      </c>
      <c r="D10" s="23">
        <f>C10/$T$9*$T$11</f>
        <v>2.2747607709922506</v>
      </c>
      <c r="E10" s="23">
        <f>D10*$T$10</f>
        <v>22.823284568973779</v>
      </c>
      <c r="F10" s="32">
        <v>0.06</v>
      </c>
      <c r="G10" s="1">
        <v>0.05</v>
      </c>
      <c r="H10" s="1">
        <v>88.1</v>
      </c>
      <c r="I10" s="1">
        <v>2.0249999999999999E-3</v>
      </c>
      <c r="J10" s="1">
        <v>0.1</v>
      </c>
      <c r="K10" s="1">
        <v>176.19</v>
      </c>
      <c r="L10" s="27">
        <v>1.013E-3</v>
      </c>
      <c r="M10" s="1">
        <v>0.1</v>
      </c>
      <c r="N10" s="1">
        <v>251.7</v>
      </c>
      <c r="O10" s="68">
        <v>7.1000000000000002E-4</v>
      </c>
      <c r="P10" s="68">
        <v>0.1</v>
      </c>
      <c r="S10" s="1" t="s">
        <v>36</v>
      </c>
      <c r="T10" s="1">
        <v>10.033268051751334</v>
      </c>
      <c r="AC10" s="18"/>
      <c r="AD10" s="18"/>
      <c r="AE10" s="18"/>
      <c r="AF10" s="18"/>
      <c r="AG10" s="18"/>
      <c r="AQ10" s="19"/>
      <c r="AR10" s="24"/>
      <c r="AY10" s="25"/>
      <c r="AZ10" s="23"/>
      <c r="BA10" s="23"/>
      <c r="BB10" s="23"/>
      <c r="BC10" s="23"/>
    </row>
    <row r="11" spans="1:55" x14ac:dyDescent="0.45">
      <c r="A11" s="1">
        <v>3</v>
      </c>
      <c r="B11" s="1" t="s">
        <v>57</v>
      </c>
      <c r="C11" s="1">
        <v>3</v>
      </c>
      <c r="D11" s="23">
        <f>C11/$T$9*$T$11</f>
        <v>2.8434509637403131</v>
      </c>
      <c r="E11" s="23">
        <f>D11*$T$10</f>
        <v>28.529105711217223</v>
      </c>
      <c r="F11" s="27">
        <v>4.2500000000000003E-2</v>
      </c>
      <c r="G11" s="1">
        <v>8.5999999999999993E-2</v>
      </c>
      <c r="H11" s="1">
        <v>143.16</v>
      </c>
      <c r="I11" s="1">
        <v>1.1130000000000001E-3</v>
      </c>
      <c r="J11" s="1">
        <v>0.21121999999999999</v>
      </c>
      <c r="K11" s="1">
        <v>286.31</v>
      </c>
      <c r="L11" s="27">
        <v>5.5400000000000002E-4</v>
      </c>
      <c r="M11" s="1">
        <v>0.21121999999999999</v>
      </c>
      <c r="N11" s="1">
        <v>409.02</v>
      </c>
      <c r="O11" s="68">
        <v>3.8999999999999999E-4</v>
      </c>
      <c r="P11" s="68">
        <v>0.2117</v>
      </c>
      <c r="S11" s="1" t="s">
        <v>37</v>
      </c>
      <c r="T11" s="1">
        <v>1</v>
      </c>
      <c r="AC11" s="18"/>
      <c r="AD11" s="18"/>
      <c r="AE11" s="18"/>
      <c r="AF11" s="18"/>
      <c r="AG11" s="18"/>
      <c r="AQ11" s="19"/>
      <c r="AR11" s="24"/>
      <c r="AY11" s="25"/>
      <c r="AZ11" s="23"/>
      <c r="BA11" s="23"/>
      <c r="BB11" s="23"/>
      <c r="BC11" s="23"/>
    </row>
    <row r="12" spans="1:55" x14ac:dyDescent="0.45">
      <c r="A12" s="1">
        <v>4</v>
      </c>
      <c r="B12" s="1" t="s">
        <v>58</v>
      </c>
      <c r="C12" s="1">
        <v>6.75</v>
      </c>
      <c r="D12" s="23">
        <f>C12/$T$9*$T$11</f>
        <v>6.3977646684157046</v>
      </c>
      <c r="E12" s="23">
        <f>D12*$T$10</f>
        <v>64.190487850238753</v>
      </c>
      <c r="F12" s="27">
        <v>2.2499999999999999E-2</v>
      </c>
      <c r="G12" s="1">
        <v>0.24537999999999999</v>
      </c>
      <c r="H12" s="1">
        <v>253.28</v>
      </c>
      <c r="I12" s="1">
        <v>5.9000000000000003E-4</v>
      </c>
      <c r="J12" s="1">
        <v>0.33346999999999999</v>
      </c>
      <c r="K12" s="1">
        <v>506.55</v>
      </c>
      <c r="L12" s="27">
        <v>3.1300000000000002E-4</v>
      </c>
      <c r="M12" s="1">
        <v>0.33234999999999998</v>
      </c>
      <c r="N12" s="1">
        <v>723.64</v>
      </c>
      <c r="O12" s="68">
        <v>2.0000000000000001E-4</v>
      </c>
      <c r="P12" s="68">
        <v>0.33439999999999998</v>
      </c>
      <c r="AC12" s="18"/>
      <c r="AD12" s="18"/>
      <c r="AE12" s="18"/>
      <c r="AF12" s="18"/>
      <c r="AG12" s="18"/>
      <c r="AQ12" s="19"/>
      <c r="AR12" s="24"/>
      <c r="AY12" s="25"/>
      <c r="AZ12" s="23"/>
      <c r="BA12" s="23"/>
      <c r="BB12" s="23"/>
      <c r="BC12" s="23"/>
    </row>
    <row r="13" spans="1:55" x14ac:dyDescent="0.45">
      <c r="A13" s="1" t="s">
        <v>59</v>
      </c>
      <c r="B13" s="1">
        <v>0.36</v>
      </c>
      <c r="D13" s="23"/>
      <c r="E13" s="23"/>
      <c r="N13" s="1" t="s">
        <v>113</v>
      </c>
      <c r="O13" s="32">
        <v>0.05</v>
      </c>
      <c r="AC13" s="18"/>
      <c r="AD13" s="18"/>
      <c r="AE13" s="18"/>
      <c r="AF13" s="18"/>
      <c r="AG13" s="18"/>
      <c r="AQ13" s="19"/>
      <c r="AR13" s="24"/>
      <c r="AY13" s="25"/>
      <c r="AZ13" s="23"/>
      <c r="BA13" s="23"/>
      <c r="BB13" s="23"/>
      <c r="BC13" s="23"/>
    </row>
    <row r="14" spans="1:55" x14ac:dyDescent="0.45">
      <c r="N14" s="1" t="s">
        <v>114</v>
      </c>
      <c r="O14" s="32">
        <v>0.4</v>
      </c>
      <c r="AC14" s="18"/>
      <c r="AD14" s="18"/>
      <c r="AE14" s="18"/>
      <c r="AF14" s="18"/>
      <c r="AG14" s="18"/>
      <c r="AQ14" s="19"/>
      <c r="AR14" s="24"/>
      <c r="AY14" s="25"/>
      <c r="AZ14" s="23"/>
      <c r="BA14" s="23"/>
      <c r="BB14" s="23"/>
      <c r="BC14" s="23"/>
    </row>
    <row r="15" spans="1:55" x14ac:dyDescent="0.45">
      <c r="N15" s="1" t="s">
        <v>119</v>
      </c>
      <c r="O15" s="1">
        <v>194</v>
      </c>
      <c r="AC15" s="18"/>
      <c r="AD15" s="18"/>
      <c r="AE15" s="18"/>
      <c r="AF15" s="18"/>
      <c r="AG15" s="18"/>
      <c r="AQ15" s="19"/>
      <c r="AR15" s="24"/>
      <c r="AY15" s="25"/>
      <c r="AZ15" s="23"/>
      <c r="BA15" s="23"/>
      <c r="BB15" s="23"/>
      <c r="BC15" s="23"/>
    </row>
    <row r="16" spans="1:55" x14ac:dyDescent="0.45">
      <c r="N16" s="1" t="s">
        <v>120</v>
      </c>
      <c r="O16" s="27">
        <v>1.3500000000000001E-3</v>
      </c>
      <c r="AC16" s="18"/>
      <c r="AD16" s="18"/>
      <c r="AE16" s="18"/>
      <c r="AF16" s="18"/>
      <c r="AG16" s="18"/>
      <c r="AQ16" s="19"/>
      <c r="AR16" s="24"/>
      <c r="AY16" s="25"/>
      <c r="AZ16" s="23"/>
      <c r="BA16" s="23"/>
      <c r="BB16" s="23"/>
      <c r="BC16" s="23"/>
    </row>
    <row r="17" spans="1:55" x14ac:dyDescent="0.45">
      <c r="A17" s="1" t="s">
        <v>110</v>
      </c>
      <c r="N17" s="1" t="s">
        <v>124</v>
      </c>
      <c r="O17" s="67">
        <v>0.05</v>
      </c>
      <c r="AC17" s="18"/>
      <c r="AD17" s="18"/>
      <c r="AE17" s="18"/>
      <c r="AF17" s="18"/>
      <c r="AG17" s="18"/>
      <c r="AQ17" s="19"/>
      <c r="AR17" s="24"/>
      <c r="AY17" s="25"/>
      <c r="AZ17" s="23"/>
      <c r="BA17" s="23"/>
      <c r="BB17" s="23"/>
      <c r="BC17" s="23"/>
    </row>
    <row r="18" spans="1:55" x14ac:dyDescent="0.45">
      <c r="A18" s="65"/>
      <c r="B18" s="65" t="s">
        <v>60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>
        <f>250/2</f>
        <v>125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AC18" s="18"/>
      <c r="AD18" s="18"/>
      <c r="AE18" s="18"/>
      <c r="AF18" s="18"/>
      <c r="AG18" s="18"/>
      <c r="AQ18" s="19"/>
      <c r="AR18" s="24"/>
      <c r="AY18" s="25"/>
      <c r="AZ18" s="23"/>
      <c r="BA18" s="23"/>
      <c r="BB18" s="23"/>
      <c r="BC18" s="23"/>
    </row>
    <row r="19" spans="1:55" x14ac:dyDescent="0.45">
      <c r="A19" s="65"/>
      <c r="B19" s="65"/>
      <c r="C19" s="65" t="s">
        <v>61</v>
      </c>
      <c r="D19" s="65" t="s">
        <v>62</v>
      </c>
      <c r="E19" s="36">
        <v>2343.4</v>
      </c>
      <c r="F19" s="65" t="s">
        <v>63</v>
      </c>
      <c r="G19" s="36">
        <v>1170</v>
      </c>
      <c r="H19" s="36">
        <v>249</v>
      </c>
      <c r="I19" s="65"/>
      <c r="J19" s="65" t="s">
        <v>64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AC19" s="18"/>
      <c r="AD19" s="18"/>
      <c r="AE19" s="18"/>
      <c r="AF19" s="18"/>
      <c r="AG19" s="18"/>
      <c r="AQ19" s="19"/>
      <c r="AR19" s="24"/>
      <c r="AY19" s="25"/>
      <c r="AZ19" s="23"/>
      <c r="BA19" s="23"/>
      <c r="BB19" s="23"/>
      <c r="BC19" s="23"/>
    </row>
    <row r="20" spans="1:55" x14ac:dyDescent="0.45">
      <c r="A20" s="65"/>
      <c r="B20" s="65"/>
      <c r="C20" s="65" t="s">
        <v>65</v>
      </c>
      <c r="D20" s="65" t="s">
        <v>62</v>
      </c>
      <c r="E20" s="36">
        <v>3198.6</v>
      </c>
      <c r="F20" s="65" t="s">
        <v>63</v>
      </c>
      <c r="G20" s="36">
        <v>800</v>
      </c>
      <c r="H20" s="65"/>
      <c r="I20" s="65"/>
      <c r="J20" s="65">
        <v>5542</v>
      </c>
      <c r="K20" s="65" t="s">
        <v>66</v>
      </c>
      <c r="L20" s="65"/>
      <c r="M20" s="65"/>
      <c r="N20" s="65">
        <v>2000</v>
      </c>
      <c r="O20" s="65"/>
      <c r="P20" s="65"/>
      <c r="Q20" s="65"/>
      <c r="R20" s="65"/>
      <c r="S20" s="65"/>
      <c r="T20" s="65"/>
      <c r="U20" s="65"/>
      <c r="V20" s="65"/>
      <c r="W20" s="65"/>
      <c r="X20" s="65"/>
      <c r="AC20" s="18"/>
      <c r="AD20" s="18"/>
      <c r="AE20" s="18"/>
      <c r="AF20" s="18"/>
      <c r="AG20" s="18"/>
      <c r="AQ20" s="19"/>
      <c r="AR20" s="24"/>
      <c r="AY20" s="25"/>
      <c r="AZ20" s="23"/>
      <c r="BA20" s="23"/>
      <c r="BB20" s="23"/>
      <c r="BC20" s="23"/>
    </row>
    <row r="21" spans="1:55" x14ac:dyDescent="0.45">
      <c r="A21" s="65"/>
      <c r="B21" s="65"/>
      <c r="C21" s="65" t="s">
        <v>67</v>
      </c>
      <c r="D21" s="65" t="s">
        <v>68</v>
      </c>
      <c r="E21" s="37">
        <v>9520.5391938144021</v>
      </c>
      <c r="F21" s="65" t="s">
        <v>63</v>
      </c>
      <c r="G21" s="36">
        <v>0.6</v>
      </c>
      <c r="H21" s="65"/>
      <c r="I21" s="65"/>
      <c r="J21" s="65">
        <v>2343.4</v>
      </c>
      <c r="K21" s="65" t="s">
        <v>61</v>
      </c>
      <c r="L21" s="65">
        <v>2343.4</v>
      </c>
      <c r="M21" s="65">
        <v>500</v>
      </c>
      <c r="N21" s="65">
        <v>2343.4</v>
      </c>
      <c r="O21" s="65">
        <f>N21+500</f>
        <v>2843.4</v>
      </c>
      <c r="P21" s="65">
        <f t="shared" ref="P21:R22" si="0">O21+500</f>
        <v>3343.4</v>
      </c>
      <c r="Q21" s="65">
        <f t="shared" si="0"/>
        <v>3843.4</v>
      </c>
      <c r="R21" s="65">
        <f t="shared" si="0"/>
        <v>4343.3999999999996</v>
      </c>
      <c r="S21" s="65"/>
      <c r="T21" s="65"/>
      <c r="U21" s="65"/>
      <c r="V21" s="65"/>
      <c r="W21" s="65"/>
      <c r="X21" s="65"/>
      <c r="AC21" s="18"/>
      <c r="AD21" s="18"/>
      <c r="AE21" s="18"/>
      <c r="AF21" s="18"/>
      <c r="AG21" s="18"/>
      <c r="AQ21" s="19"/>
      <c r="AR21" s="24"/>
      <c r="AY21" s="25"/>
      <c r="AZ21" s="23"/>
      <c r="BA21" s="23"/>
      <c r="BB21" s="23"/>
      <c r="BC21" s="23"/>
    </row>
    <row r="22" spans="1:55" ht="16.3" thickBot="1" x14ac:dyDescent="0.5">
      <c r="A22" s="65"/>
      <c r="B22" s="65"/>
      <c r="C22" s="65" t="s">
        <v>69</v>
      </c>
      <c r="D22" s="65" t="s">
        <v>70</v>
      </c>
      <c r="E22" s="38">
        <f>(E19-H19)*G19+E20*G20+E21*E19*G21</f>
        <v>18395586.928070799</v>
      </c>
      <c r="F22" s="65"/>
      <c r="G22" s="65"/>
      <c r="H22" s="65"/>
      <c r="I22" s="65"/>
      <c r="J22" s="36">
        <v>3198.6</v>
      </c>
      <c r="K22" s="65" t="s">
        <v>65</v>
      </c>
      <c r="L22" s="65">
        <v>3198.6</v>
      </c>
      <c r="M22" s="65">
        <v>500</v>
      </c>
      <c r="N22" s="65">
        <v>3198.6</v>
      </c>
      <c r="O22" s="65">
        <f>N22+500</f>
        <v>3698.6</v>
      </c>
      <c r="P22" s="65">
        <f t="shared" si="0"/>
        <v>4198.6000000000004</v>
      </c>
      <c r="Q22" s="65">
        <f t="shared" si="0"/>
        <v>4698.6000000000004</v>
      </c>
      <c r="R22" s="65">
        <f t="shared" si="0"/>
        <v>5198.6000000000004</v>
      </c>
      <c r="S22" s="65"/>
      <c r="T22" s="65"/>
      <c r="U22" s="65"/>
      <c r="V22" s="65"/>
      <c r="W22" s="65"/>
      <c r="X22" s="65"/>
      <c r="AC22" s="18"/>
      <c r="AD22" s="18"/>
      <c r="AE22" s="18"/>
      <c r="AF22" s="18"/>
      <c r="AG22" s="18"/>
      <c r="AQ22" s="19"/>
      <c r="AR22" s="24"/>
      <c r="AY22" s="25"/>
      <c r="AZ22" s="23"/>
      <c r="BA22" s="23"/>
      <c r="BB22" s="23"/>
      <c r="BC22" s="23"/>
    </row>
    <row r="23" spans="1:55" x14ac:dyDescent="0.45">
      <c r="A23" s="65"/>
      <c r="B23" s="65" t="s">
        <v>71</v>
      </c>
      <c r="C23" s="65"/>
      <c r="D23" s="65"/>
      <c r="E23" s="65"/>
      <c r="F23" s="65"/>
      <c r="G23" s="65"/>
      <c r="H23" s="65"/>
      <c r="I23" s="65"/>
      <c r="J23" s="37">
        <v>9520.5391938144021</v>
      </c>
      <c r="K23" s="65" t="s">
        <v>67</v>
      </c>
      <c r="L23" s="65">
        <f>L21+1000</f>
        <v>3343.4</v>
      </c>
      <c r="M23" s="65"/>
      <c r="N23" s="65">
        <f>N22+500</f>
        <v>3698.6</v>
      </c>
      <c r="O23" s="65"/>
      <c r="P23" s="65"/>
      <c r="Q23" s="65"/>
      <c r="R23" s="65"/>
      <c r="S23" s="65"/>
      <c r="T23" s="39" t="s">
        <v>72</v>
      </c>
      <c r="U23" s="40" t="s">
        <v>73</v>
      </c>
      <c r="V23" s="65"/>
      <c r="W23" s="65"/>
      <c r="X23" s="65"/>
      <c r="AC23" s="18"/>
      <c r="AD23" s="18"/>
      <c r="AE23" s="18"/>
      <c r="AF23" s="18"/>
      <c r="AG23" s="18"/>
      <c r="AQ23" s="19"/>
      <c r="AR23" s="24"/>
      <c r="AY23" s="25"/>
      <c r="AZ23" s="23"/>
      <c r="BA23" s="23"/>
      <c r="BB23" s="23"/>
      <c r="BC23" s="23"/>
    </row>
    <row r="24" spans="1:55" x14ac:dyDescent="0.45">
      <c r="A24" s="65"/>
      <c r="B24" s="65"/>
      <c r="C24" s="65" t="s">
        <v>74</v>
      </c>
      <c r="D24" s="65" t="s">
        <v>62</v>
      </c>
      <c r="E24" s="36">
        <f>E19</f>
        <v>2343.4</v>
      </c>
      <c r="F24" s="65" t="s">
        <v>63</v>
      </c>
      <c r="G24" s="36">
        <v>3120</v>
      </c>
      <c r="H24" s="36">
        <v>2000</v>
      </c>
      <c r="I24" s="65"/>
      <c r="J24" s="65"/>
      <c r="K24" s="65"/>
      <c r="L24" s="65">
        <f>L22+1000</f>
        <v>4198.6000000000004</v>
      </c>
      <c r="M24" s="65"/>
      <c r="N24" s="65">
        <f t="shared" ref="N24:N27" si="1">N23+500</f>
        <v>4198.6000000000004</v>
      </c>
      <c r="O24" s="65"/>
      <c r="P24" s="65"/>
      <c r="Q24" s="65"/>
      <c r="R24" s="65"/>
      <c r="S24" s="65"/>
      <c r="T24" s="41">
        <v>500</v>
      </c>
      <c r="U24" s="42">
        <v>806756.15804113063</v>
      </c>
      <c r="V24" s="65"/>
      <c r="W24" s="65"/>
      <c r="X24" s="65"/>
      <c r="AC24" s="18"/>
      <c r="AD24" s="18"/>
      <c r="AE24" s="18"/>
      <c r="AF24" s="18"/>
      <c r="AG24" s="18"/>
      <c r="AQ24" s="19"/>
      <c r="AR24" s="24"/>
      <c r="AY24" s="25"/>
      <c r="AZ24" s="23"/>
      <c r="BA24" s="23"/>
      <c r="BB24" s="23"/>
      <c r="BC24" s="23"/>
    </row>
    <row r="25" spans="1:55" x14ac:dyDescent="0.45">
      <c r="A25" s="65"/>
      <c r="B25" s="65"/>
      <c r="C25" s="65" t="s">
        <v>75</v>
      </c>
      <c r="D25" s="65" t="s">
        <v>70</v>
      </c>
      <c r="E25" s="36">
        <f>(E24-H24)*G24</f>
        <v>1071408.0000000002</v>
      </c>
      <c r="F25" s="65"/>
      <c r="G25" s="65"/>
      <c r="H25" s="65"/>
      <c r="I25" s="43">
        <f>I27*1.1023</f>
        <v>33.069000000000003</v>
      </c>
      <c r="J25" s="36">
        <v>3.2810000000000001</v>
      </c>
      <c r="K25" s="65" t="s">
        <v>76</v>
      </c>
      <c r="L25" s="65"/>
      <c r="M25" s="65"/>
      <c r="N25" s="65">
        <f t="shared" si="1"/>
        <v>4698.6000000000004</v>
      </c>
      <c r="O25" s="65"/>
      <c r="P25" s="65"/>
      <c r="Q25" s="65"/>
      <c r="R25" s="65"/>
      <c r="S25" s="65"/>
      <c r="T25" s="44">
        <v>1000</v>
      </c>
      <c r="U25" s="45">
        <v>1613512.3160822613</v>
      </c>
      <c r="V25" s="65"/>
      <c r="W25" s="65"/>
      <c r="X25" s="65"/>
      <c r="AC25" s="18"/>
      <c r="AD25" s="18"/>
      <c r="AE25" s="18"/>
      <c r="AF25" s="18"/>
      <c r="AG25" s="18"/>
      <c r="AQ25" s="19"/>
      <c r="AR25" s="24"/>
      <c r="AY25" s="25"/>
      <c r="AZ25" s="23"/>
      <c r="BA25" s="23"/>
      <c r="BB25" s="23"/>
      <c r="BC25" s="23"/>
    </row>
    <row r="26" spans="1:55" x14ac:dyDescent="0.45">
      <c r="A26" s="65"/>
      <c r="B26" s="65"/>
      <c r="C26" s="65" t="s">
        <v>77</v>
      </c>
      <c r="D26" s="65" t="s">
        <v>70</v>
      </c>
      <c r="E26" s="46">
        <f>E25+E22</f>
        <v>19466994.928070799</v>
      </c>
      <c r="F26" s="65">
        <f>L47*E26</f>
        <v>0</v>
      </c>
      <c r="G26" s="65"/>
      <c r="H26" s="43">
        <f>I26*I27</f>
        <v>314834.71060024848</v>
      </c>
      <c r="I26" s="65">
        <f>E21*1.1023</f>
        <v>10494.490353341616</v>
      </c>
      <c r="J26" s="36">
        <f>L26</f>
        <v>2000</v>
      </c>
      <c r="K26" s="65" t="s">
        <v>78</v>
      </c>
      <c r="L26" s="65">
        <v>2000</v>
      </c>
      <c r="M26" s="65">
        <v>250</v>
      </c>
      <c r="N26" s="65">
        <f t="shared" si="1"/>
        <v>5198.6000000000004</v>
      </c>
      <c r="O26" s="65"/>
      <c r="P26" s="65"/>
      <c r="Q26" s="65"/>
      <c r="R26" s="65"/>
      <c r="S26" s="65"/>
      <c r="T26" s="44">
        <v>1500</v>
      </c>
      <c r="U26" s="45">
        <v>2420268.4741233913</v>
      </c>
      <c r="V26" s="65"/>
      <c r="W26" s="65"/>
      <c r="X26" s="65"/>
      <c r="AC26" s="18"/>
      <c r="AD26" s="18"/>
      <c r="AE26" s="18"/>
      <c r="AF26" s="18"/>
      <c r="AG26" s="18"/>
      <c r="AQ26" s="19"/>
      <c r="AR26" s="24"/>
      <c r="AY26" s="25"/>
      <c r="AZ26" s="23"/>
      <c r="BA26" s="23"/>
      <c r="BB26" s="23"/>
      <c r="BC26" s="23"/>
    </row>
    <row r="27" spans="1:55" ht="16.3" thickBot="1" x14ac:dyDescent="0.5">
      <c r="A27" s="65"/>
      <c r="B27" s="65"/>
      <c r="C27" s="65">
        <v>2000</v>
      </c>
      <c r="D27" s="65" t="s">
        <v>78</v>
      </c>
      <c r="E27" s="65"/>
      <c r="F27" s="65">
        <v>3.2810000000000001</v>
      </c>
      <c r="G27" s="65" t="s">
        <v>76</v>
      </c>
      <c r="H27" s="65">
        <f>20/0.78</f>
        <v>25.641025641025639</v>
      </c>
      <c r="I27" s="47">
        <v>30</v>
      </c>
      <c r="J27" s="65"/>
      <c r="K27" s="65"/>
      <c r="L27" s="65"/>
      <c r="M27" s="65"/>
      <c r="N27" s="65">
        <f t="shared" si="1"/>
        <v>5698.6</v>
      </c>
      <c r="O27" s="65"/>
      <c r="P27" s="65"/>
      <c r="Q27" s="65"/>
      <c r="R27" s="65"/>
      <c r="S27" s="65"/>
      <c r="T27" s="48">
        <v>2000</v>
      </c>
      <c r="U27" s="49">
        <v>3227024.6321645211</v>
      </c>
      <c r="V27" s="65"/>
      <c r="W27" s="65"/>
      <c r="X27" s="65"/>
      <c r="AC27" s="18"/>
      <c r="AD27" s="18"/>
      <c r="AE27" s="18"/>
      <c r="AF27" s="18"/>
      <c r="AG27" s="18"/>
      <c r="AQ27" s="19"/>
      <c r="AR27" s="24"/>
      <c r="AY27" s="25"/>
      <c r="AZ27" s="23"/>
      <c r="BA27" s="23"/>
      <c r="BB27" s="23"/>
      <c r="BC27" s="23"/>
    </row>
    <row r="28" spans="1:55" x14ac:dyDescent="0.45">
      <c r="A28" s="65"/>
      <c r="B28" s="65"/>
      <c r="C28" s="50" t="s">
        <v>79</v>
      </c>
      <c r="D28" s="50"/>
      <c r="E28" s="50"/>
      <c r="F28" s="50"/>
      <c r="G28" s="65"/>
      <c r="H28" s="65" t="s">
        <v>80</v>
      </c>
      <c r="I28" s="65">
        <v>2000</v>
      </c>
      <c r="J28" s="65" t="s">
        <v>81</v>
      </c>
      <c r="K28" s="65"/>
      <c r="L28" s="65"/>
      <c r="M28" s="65"/>
      <c r="N28" s="65"/>
      <c r="O28" s="65"/>
      <c r="P28" s="65"/>
      <c r="Q28" s="65"/>
      <c r="R28" s="65"/>
      <c r="S28" s="65"/>
      <c r="T28" s="39" t="s">
        <v>82</v>
      </c>
      <c r="U28" s="40" t="s">
        <v>73</v>
      </c>
      <c r="V28" s="39" t="s">
        <v>83</v>
      </c>
      <c r="W28" s="40" t="s">
        <v>73</v>
      </c>
      <c r="X28" s="65"/>
      <c r="AC28" s="18"/>
      <c r="AD28" s="18"/>
      <c r="AE28" s="18"/>
      <c r="AF28" s="18"/>
      <c r="AG28" s="18"/>
      <c r="AQ28" s="19"/>
      <c r="AR28" s="24"/>
      <c r="AY28" s="25"/>
      <c r="AZ28" s="23"/>
      <c r="BA28" s="23"/>
      <c r="BB28" s="23"/>
      <c r="BC28" s="23"/>
    </row>
    <row r="29" spans="1:55" x14ac:dyDescent="0.45">
      <c r="A29" s="65"/>
      <c r="B29" s="65"/>
      <c r="C29" s="65"/>
      <c r="D29" s="65" t="s">
        <v>84</v>
      </c>
      <c r="E29" s="65">
        <v>194</v>
      </c>
      <c r="F29" s="65">
        <f>E29/C61</f>
        <v>6855.1236749116615</v>
      </c>
      <c r="G29" s="65"/>
      <c r="H29" s="65"/>
      <c r="I29" s="65"/>
      <c r="J29" s="51">
        <f>(K38-J38)*I32</f>
        <v>0</v>
      </c>
      <c r="K29" s="65"/>
      <c r="L29" s="65"/>
      <c r="M29" s="65"/>
      <c r="N29" s="65"/>
      <c r="O29" s="65"/>
      <c r="P29" s="65"/>
      <c r="Q29" s="65"/>
      <c r="R29" s="65"/>
      <c r="S29" s="65"/>
      <c r="T29" s="52">
        <v>500</v>
      </c>
      <c r="U29" s="53">
        <v>402077.49582363648</v>
      </c>
      <c r="V29" s="54" t="s">
        <v>85</v>
      </c>
      <c r="W29" s="53">
        <v>1659567.9559373755</v>
      </c>
      <c r="X29" s="65"/>
      <c r="AC29" s="18"/>
      <c r="AD29" s="18"/>
      <c r="AE29" s="18"/>
      <c r="AF29" s="18"/>
      <c r="AG29" s="18"/>
      <c r="AQ29" s="19"/>
      <c r="AR29" s="24"/>
      <c r="AY29" s="25"/>
      <c r="AZ29" s="23"/>
      <c r="BA29" s="23"/>
      <c r="BB29" s="23"/>
      <c r="BC29" s="23"/>
    </row>
    <row r="30" spans="1:55" x14ac:dyDescent="0.45">
      <c r="A30" s="65"/>
      <c r="B30" s="65"/>
      <c r="C30" s="65"/>
      <c r="D30" s="65" t="s">
        <v>86</v>
      </c>
      <c r="E30" s="36">
        <f>E29*6.28981</f>
        <v>1220.2231400000001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55">
        <v>1000</v>
      </c>
      <c r="U30" s="56">
        <v>804154.99164727237</v>
      </c>
      <c r="V30" s="57" t="s">
        <v>87</v>
      </c>
      <c r="W30" s="56">
        <v>3716768.5330088064</v>
      </c>
      <c r="X30" s="65"/>
      <c r="AC30" s="18"/>
      <c r="AD30" s="18"/>
      <c r="AE30" s="18"/>
      <c r="AF30" s="18"/>
      <c r="AG30" s="18"/>
      <c r="AQ30" s="19"/>
      <c r="AR30" s="24"/>
      <c r="AY30" s="25"/>
      <c r="AZ30" s="23"/>
      <c r="BA30" s="23"/>
      <c r="BB30" s="23"/>
      <c r="BC30" s="23"/>
    </row>
    <row r="31" spans="1:55" x14ac:dyDescent="0.4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55">
        <v>1500</v>
      </c>
      <c r="U31" s="56">
        <v>1206232.4874709088</v>
      </c>
      <c r="V31" s="55" t="s">
        <v>88</v>
      </c>
      <c r="W31" s="56">
        <v>6225618.1169869006</v>
      </c>
      <c r="X31" s="65"/>
      <c r="AC31" s="18"/>
      <c r="AD31" s="18"/>
      <c r="AE31" s="18"/>
      <c r="AF31" s="18"/>
      <c r="AG31" s="18"/>
      <c r="AQ31" s="19"/>
      <c r="AR31" s="24"/>
      <c r="AY31" s="25"/>
      <c r="AZ31" s="23"/>
      <c r="BA31" s="23"/>
      <c r="BB31" s="23"/>
      <c r="BC31" s="23"/>
    </row>
    <row r="32" spans="1:55" ht="16.3" thickBot="1" x14ac:dyDescent="0.5">
      <c r="A32" s="65"/>
      <c r="B32" s="65"/>
      <c r="C32" s="65"/>
      <c r="D32" s="65"/>
      <c r="E32" s="65"/>
      <c r="F32" s="65"/>
      <c r="G32" s="65"/>
      <c r="H32" s="65"/>
      <c r="I32" s="58"/>
      <c r="J32" s="58"/>
      <c r="K32" s="58"/>
      <c r="L32" s="58"/>
      <c r="M32" s="58"/>
      <c r="N32" s="65"/>
      <c r="O32" s="58"/>
      <c r="P32" s="58"/>
      <c r="Q32" s="58"/>
      <c r="R32" s="58"/>
      <c r="S32" s="59"/>
      <c r="T32" s="60">
        <v>2000</v>
      </c>
      <c r="U32" s="61">
        <v>1608309.9832945447</v>
      </c>
      <c r="V32" s="60" t="s">
        <v>89</v>
      </c>
      <c r="W32" s="61">
        <v>9240133.0936442558</v>
      </c>
      <c r="X32" s="65"/>
      <c r="AC32" s="18"/>
      <c r="AD32" s="18"/>
      <c r="AE32" s="18"/>
      <c r="AF32" s="18"/>
      <c r="AG32" s="18"/>
      <c r="AQ32" s="19"/>
      <c r="AR32" s="24"/>
      <c r="AY32" s="25"/>
      <c r="AZ32" s="23"/>
      <c r="BA32" s="23"/>
      <c r="BB32" s="23"/>
      <c r="BC32" s="23"/>
    </row>
    <row r="33" spans="1:55" x14ac:dyDescent="0.45">
      <c r="A33" s="65"/>
      <c r="B33" s="65"/>
      <c r="C33" s="65"/>
      <c r="D33" s="65"/>
      <c r="E33" s="65"/>
      <c r="F33" s="65"/>
      <c r="G33" s="65"/>
      <c r="H33" s="65"/>
      <c r="I33" s="58"/>
      <c r="J33" s="58"/>
      <c r="K33" s="58"/>
      <c r="L33" s="58"/>
      <c r="M33" s="58"/>
      <c r="N33" s="65"/>
      <c r="O33" s="58"/>
      <c r="P33" s="58"/>
      <c r="Q33" s="58"/>
      <c r="R33" s="58"/>
      <c r="S33" s="59"/>
      <c r="T33" s="39" t="s">
        <v>90</v>
      </c>
      <c r="U33" s="40" t="s">
        <v>73</v>
      </c>
      <c r="V33" s="65"/>
      <c r="W33" s="65"/>
      <c r="X33" s="65"/>
      <c r="AC33" s="18"/>
      <c r="AD33" s="18"/>
      <c r="AE33" s="18"/>
      <c r="AF33" s="18"/>
      <c r="AG33" s="18"/>
      <c r="AQ33" s="19"/>
      <c r="AR33" s="24"/>
      <c r="AY33" s="25"/>
      <c r="AZ33" s="23"/>
      <c r="BA33" s="23"/>
      <c r="BB33" s="23"/>
      <c r="BC33" s="23"/>
    </row>
    <row r="34" spans="1:55" x14ac:dyDescent="0.45">
      <c r="A34" s="65"/>
      <c r="B34" s="65"/>
      <c r="C34" s="65"/>
      <c r="D34" s="65"/>
      <c r="E34" s="65"/>
      <c r="F34" s="65"/>
      <c r="G34" s="65"/>
      <c r="H34" s="65"/>
      <c r="I34" s="58"/>
      <c r="J34" s="58"/>
      <c r="K34" s="58"/>
      <c r="L34" s="58"/>
      <c r="M34" s="58"/>
      <c r="N34" s="65"/>
      <c r="O34" s="58"/>
      <c r="P34" s="58"/>
      <c r="Q34" s="58"/>
      <c r="R34" s="58"/>
      <c r="S34" s="59"/>
      <c r="T34" s="52">
        <v>250</v>
      </c>
      <c r="U34" s="53">
        <v>269923.45342978108</v>
      </c>
      <c r="V34" s="65"/>
      <c r="W34" s="65"/>
      <c r="X34" s="65"/>
      <c r="AC34" s="18"/>
      <c r="AD34" s="18"/>
      <c r="AE34" s="18"/>
      <c r="AF34" s="18"/>
      <c r="AG34" s="18"/>
      <c r="AQ34" s="19"/>
      <c r="AR34" s="24"/>
      <c r="AY34" s="25"/>
      <c r="AZ34" s="23"/>
      <c r="BA34" s="23"/>
      <c r="BB34" s="23"/>
      <c r="BC34" s="23"/>
    </row>
    <row r="35" spans="1:55" x14ac:dyDescent="0.45">
      <c r="A35" s="65"/>
      <c r="B35" s="65"/>
      <c r="C35" s="65"/>
      <c r="D35" s="65"/>
      <c r="E35" s="65"/>
      <c r="F35" s="65"/>
      <c r="G35" s="65"/>
      <c r="H35" s="65"/>
      <c r="I35" s="58"/>
      <c r="J35" s="58"/>
      <c r="K35" s="58"/>
      <c r="L35" s="58"/>
      <c r="M35" s="58"/>
      <c r="N35" s="65"/>
      <c r="O35" s="58"/>
      <c r="P35" s="58"/>
      <c r="Q35" s="58"/>
      <c r="R35" s="58"/>
      <c r="S35" s="59"/>
      <c r="T35" s="55">
        <v>500</v>
      </c>
      <c r="U35" s="56">
        <v>539846.90685956331</v>
      </c>
      <c r="V35" s="65"/>
      <c r="W35" s="65"/>
      <c r="X35" s="65"/>
      <c r="AC35" s="18"/>
      <c r="AD35" s="18"/>
      <c r="AE35" s="18"/>
      <c r="AF35" s="18"/>
      <c r="AG35" s="18"/>
      <c r="AQ35" s="19"/>
      <c r="AR35" s="24"/>
      <c r="AY35" s="25"/>
      <c r="AZ35" s="23"/>
      <c r="BA35" s="23"/>
      <c r="BB35" s="23"/>
      <c r="BC35" s="23"/>
    </row>
    <row r="36" spans="1:55" x14ac:dyDescent="0.45">
      <c r="A36" s="65"/>
      <c r="B36" s="65"/>
      <c r="C36" s="65"/>
      <c r="D36" s="65"/>
      <c r="E36" s="65"/>
      <c r="F36" s="65"/>
      <c r="G36" s="65"/>
      <c r="H36" s="65"/>
      <c r="I36" s="58"/>
      <c r="J36" s="58"/>
      <c r="K36" s="58"/>
      <c r="L36" s="58"/>
      <c r="M36" s="58"/>
      <c r="N36" s="65"/>
      <c r="O36" s="58"/>
      <c r="P36" s="58"/>
      <c r="Q36" s="58"/>
      <c r="R36" s="58"/>
      <c r="S36" s="59"/>
      <c r="T36" s="55">
        <v>750</v>
      </c>
      <c r="U36" s="56">
        <v>809770.36028934433</v>
      </c>
      <c r="V36" s="65"/>
      <c r="W36" s="65"/>
      <c r="X36" s="65"/>
      <c r="AC36" s="18"/>
      <c r="AD36" s="18"/>
      <c r="AE36" s="18"/>
      <c r="AF36" s="18"/>
      <c r="AG36" s="18"/>
      <c r="AQ36" s="19"/>
      <c r="AR36" s="24"/>
      <c r="AY36" s="25"/>
      <c r="AZ36" s="23"/>
      <c r="BA36" s="23"/>
      <c r="BB36" s="23"/>
      <c r="BC36" s="23"/>
    </row>
    <row r="37" spans="1:55" ht="16.3" thickBot="1" x14ac:dyDescent="0.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0">
        <v>1000</v>
      </c>
      <c r="U37" s="61">
        <v>1079693.8137191255</v>
      </c>
      <c r="V37" s="65"/>
      <c r="W37" s="65"/>
      <c r="X37" s="65"/>
      <c r="AC37" s="18"/>
      <c r="AD37" s="18"/>
      <c r="AE37" s="18"/>
      <c r="AF37" s="18"/>
      <c r="AG37" s="18"/>
      <c r="AQ37" s="19"/>
      <c r="AR37" s="24"/>
      <c r="AY37" s="25"/>
      <c r="AZ37" s="23"/>
      <c r="BA37" s="23"/>
      <c r="BB37" s="23"/>
      <c r="BC37" s="23"/>
    </row>
    <row r="38" spans="1:55" x14ac:dyDescent="0.4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2"/>
      <c r="L38" s="65"/>
      <c r="M38" s="65"/>
      <c r="N38" s="65"/>
      <c r="O38" s="65"/>
      <c r="P38" s="65"/>
      <c r="Q38" s="62"/>
      <c r="R38" s="65"/>
      <c r="S38" s="65"/>
      <c r="T38" s="65"/>
      <c r="U38" s="65"/>
      <c r="V38" s="65"/>
      <c r="W38" s="65"/>
      <c r="X38" s="65"/>
      <c r="AC38" s="18"/>
      <c r="AD38" s="18"/>
      <c r="AE38" s="18"/>
      <c r="AF38" s="18"/>
      <c r="AG38" s="18"/>
      <c r="AQ38" s="19"/>
      <c r="AR38" s="24"/>
      <c r="AY38" s="25"/>
      <c r="AZ38" s="23"/>
      <c r="BA38" s="23"/>
      <c r="BB38" s="23"/>
      <c r="BC38" s="23"/>
    </row>
    <row r="39" spans="1:55" x14ac:dyDescent="0.4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AC39" s="18"/>
      <c r="AD39" s="18"/>
      <c r="AE39" s="18"/>
      <c r="AF39" s="18"/>
      <c r="AG39" s="18"/>
      <c r="AQ39" s="19"/>
      <c r="AR39" s="24"/>
      <c r="AY39" s="25"/>
      <c r="AZ39" s="23"/>
      <c r="BA39" s="23"/>
      <c r="BB39" s="23"/>
      <c r="BC39" s="23"/>
    </row>
    <row r="40" spans="1:55" x14ac:dyDescent="0.45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AC40" s="18"/>
      <c r="AD40" s="18"/>
      <c r="AE40" s="18"/>
      <c r="AF40" s="18"/>
      <c r="AG40" s="18"/>
      <c r="AQ40" s="19"/>
      <c r="AR40" s="24"/>
      <c r="AY40" s="25"/>
      <c r="AZ40" s="23"/>
      <c r="BA40" s="23"/>
      <c r="BB40" s="23"/>
      <c r="BC40" s="23"/>
    </row>
    <row r="41" spans="1:55" x14ac:dyDescent="0.45">
      <c r="A41" s="65"/>
      <c r="B41" s="65"/>
      <c r="C41" s="65"/>
      <c r="D41" s="65"/>
      <c r="E41" s="65"/>
      <c r="F41" s="65"/>
      <c r="G41" s="65"/>
      <c r="H41" s="65"/>
      <c r="I41" s="65"/>
      <c r="J41" s="58"/>
      <c r="K41" s="58"/>
      <c r="L41" s="58"/>
      <c r="M41" s="65"/>
      <c r="N41" s="65"/>
      <c r="O41" s="58"/>
      <c r="P41" s="65"/>
      <c r="Q41" s="65"/>
      <c r="R41" s="65"/>
      <c r="S41" s="65"/>
      <c r="T41" s="58"/>
      <c r="U41" s="63"/>
      <c r="V41" s="58"/>
      <c r="W41" s="65"/>
      <c r="X41" s="65"/>
      <c r="AC41" s="18"/>
      <c r="AD41" s="18"/>
      <c r="AE41" s="18"/>
      <c r="AF41" s="18"/>
      <c r="AG41" s="18"/>
      <c r="AQ41" s="19"/>
      <c r="AR41" s="24"/>
      <c r="AY41" s="25"/>
      <c r="AZ41" s="23"/>
      <c r="BA41" s="23"/>
      <c r="BB41" s="23"/>
      <c r="BC41" s="23"/>
    </row>
    <row r="42" spans="1:55" x14ac:dyDescent="0.45">
      <c r="A42" s="65"/>
      <c r="B42" s="65"/>
      <c r="C42" s="65"/>
      <c r="D42" s="65"/>
      <c r="E42" s="65"/>
      <c r="F42" s="65"/>
      <c r="G42" s="65"/>
      <c r="H42" s="65"/>
      <c r="I42" s="65"/>
      <c r="J42" s="58"/>
      <c r="K42" s="58"/>
      <c r="L42" s="58"/>
      <c r="M42" s="65"/>
      <c r="N42" s="65"/>
      <c r="O42" s="58"/>
      <c r="P42" s="58"/>
      <c r="Q42" s="58"/>
      <c r="R42" s="63"/>
      <c r="S42" s="63"/>
      <c r="T42" s="58"/>
      <c r="U42" s="63"/>
      <c r="V42" s="58"/>
      <c r="W42" s="65"/>
      <c r="X42" s="65"/>
      <c r="AC42" s="18"/>
      <c r="AD42" s="18"/>
      <c r="AE42" s="18"/>
      <c r="AF42" s="18"/>
      <c r="AG42" s="18"/>
      <c r="AQ42" s="19"/>
      <c r="AR42" s="24"/>
      <c r="AY42" s="25"/>
      <c r="AZ42" s="23"/>
      <c r="BA42" s="23"/>
      <c r="BB42" s="23"/>
      <c r="BC42" s="23"/>
    </row>
    <row r="43" spans="1:55" x14ac:dyDescent="0.45">
      <c r="A43" s="65"/>
      <c r="B43" s="65"/>
      <c r="C43" s="65"/>
      <c r="D43" s="65"/>
      <c r="E43" s="65"/>
      <c r="F43" s="65"/>
      <c r="G43" s="65"/>
      <c r="H43" s="65"/>
      <c r="I43" s="65"/>
      <c r="J43" s="58"/>
      <c r="K43" s="58"/>
      <c r="L43" s="58"/>
      <c r="M43" s="65"/>
      <c r="N43" s="65"/>
      <c r="O43" s="58"/>
      <c r="P43" s="58"/>
      <c r="Q43" s="58"/>
      <c r="R43" s="63"/>
      <c r="S43" s="63"/>
      <c r="T43" s="58"/>
      <c r="U43" s="63"/>
      <c r="V43" s="58"/>
      <c r="W43" s="65"/>
      <c r="X43" s="65"/>
      <c r="AC43" s="18"/>
      <c r="AD43" s="18"/>
      <c r="AE43" s="18"/>
      <c r="AF43" s="18"/>
      <c r="AG43" s="18"/>
      <c r="AQ43" s="19"/>
      <c r="AR43" s="24"/>
      <c r="AY43" s="25"/>
      <c r="AZ43" s="23"/>
      <c r="BA43" s="23"/>
      <c r="BB43" s="23"/>
      <c r="BC43" s="23"/>
    </row>
    <row r="44" spans="1:55" x14ac:dyDescent="0.45">
      <c r="A44" s="65"/>
      <c r="B44" s="65"/>
      <c r="C44" s="65"/>
      <c r="D44" s="65"/>
      <c r="E44" s="65"/>
      <c r="F44" s="65"/>
      <c r="G44" s="65"/>
      <c r="H44" s="65"/>
      <c r="I44" s="65"/>
      <c r="J44" s="58"/>
      <c r="K44" s="58"/>
      <c r="L44" s="58"/>
      <c r="M44" s="65"/>
      <c r="N44" s="65"/>
      <c r="O44" s="58"/>
      <c r="P44" s="58"/>
      <c r="Q44" s="58"/>
      <c r="R44" s="63"/>
      <c r="S44" s="63"/>
      <c r="T44" s="58"/>
      <c r="U44" s="63"/>
      <c r="V44" s="58"/>
      <c r="W44" s="65"/>
      <c r="X44" s="65"/>
      <c r="AC44" s="18"/>
      <c r="AD44" s="18"/>
      <c r="AE44" s="18"/>
      <c r="AF44" s="18"/>
      <c r="AG44" s="18"/>
      <c r="AQ44" s="19"/>
      <c r="AR44" s="24"/>
      <c r="AY44" s="25"/>
      <c r="AZ44" s="23"/>
      <c r="BA44" s="23"/>
      <c r="BB44" s="23"/>
      <c r="BC44" s="23"/>
    </row>
    <row r="45" spans="1:55" x14ac:dyDescent="0.45">
      <c r="A45" s="65"/>
      <c r="B45" s="65"/>
      <c r="C45" s="65" t="s">
        <v>91</v>
      </c>
      <c r="D45" s="65" t="s">
        <v>92</v>
      </c>
      <c r="E45" s="65">
        <v>40</v>
      </c>
      <c r="F45" s="65"/>
      <c r="G45" s="65"/>
      <c r="H45" s="65"/>
      <c r="I45" s="65"/>
      <c r="J45" s="58"/>
      <c r="K45" s="58"/>
      <c r="L45" s="58"/>
      <c r="M45" s="65"/>
      <c r="N45" s="65"/>
      <c r="O45" s="58"/>
      <c r="P45" s="58"/>
      <c r="Q45" s="58"/>
      <c r="R45" s="63"/>
      <c r="S45" s="63"/>
      <c r="T45" s="58"/>
      <c r="U45" s="63"/>
      <c r="V45" s="58"/>
      <c r="W45" s="65"/>
      <c r="X45" s="65"/>
      <c r="AC45" s="18"/>
      <c r="AD45" s="18"/>
      <c r="AE45" s="18"/>
      <c r="AF45" s="18"/>
      <c r="AG45" s="18"/>
      <c r="AQ45" s="19"/>
      <c r="AR45" s="24"/>
      <c r="AY45" s="25"/>
      <c r="AZ45" s="23"/>
      <c r="BA45" s="23"/>
      <c r="BB45" s="23"/>
      <c r="BC45" s="23"/>
    </row>
    <row r="46" spans="1:55" x14ac:dyDescent="0.45">
      <c r="A46" s="65"/>
      <c r="B46" s="65"/>
      <c r="C46" s="65"/>
      <c r="D46" s="65" t="s">
        <v>86</v>
      </c>
      <c r="E46" s="65">
        <f>E45*D55</f>
        <v>1216.8000000000002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AC46" s="18"/>
      <c r="AD46" s="18"/>
      <c r="AE46" s="18"/>
      <c r="AF46" s="18"/>
      <c r="AG46" s="18"/>
      <c r="AQ46" s="19"/>
      <c r="AR46" s="24"/>
      <c r="AY46" s="25"/>
      <c r="AZ46" s="23"/>
      <c r="BA46" s="23"/>
      <c r="BB46" s="23"/>
      <c r="BC46" s="23"/>
    </row>
    <row r="47" spans="1:55" x14ac:dyDescent="0.45">
      <c r="A47" s="65"/>
      <c r="B47" s="65"/>
      <c r="C47" s="65"/>
      <c r="D47" s="65" t="s">
        <v>93</v>
      </c>
      <c r="E47" s="65">
        <f>E50/E46</f>
        <v>10.023418392504929</v>
      </c>
      <c r="F47" s="65"/>
      <c r="G47" s="65"/>
      <c r="H47" s="65"/>
      <c r="I47" s="65"/>
      <c r="J47" s="65"/>
      <c r="K47" s="62"/>
      <c r="L47" s="62"/>
      <c r="M47" s="65"/>
      <c r="N47" s="65"/>
      <c r="O47" s="65"/>
      <c r="P47" s="65"/>
      <c r="Q47" s="62"/>
      <c r="R47" s="65"/>
      <c r="S47" s="65"/>
      <c r="T47" s="65"/>
      <c r="U47" s="65"/>
      <c r="V47" s="65"/>
      <c r="W47" s="65"/>
      <c r="X47" s="65"/>
      <c r="AC47" s="18"/>
      <c r="AD47" s="18"/>
      <c r="AE47" s="18"/>
      <c r="AF47" s="18"/>
      <c r="AG47" s="18"/>
      <c r="AQ47" s="19"/>
      <c r="AR47" s="24"/>
      <c r="AY47" s="25"/>
      <c r="AZ47" s="23"/>
      <c r="BA47" s="23"/>
      <c r="BB47" s="23"/>
      <c r="BC47" s="23"/>
    </row>
    <row r="48" spans="1:55" x14ac:dyDescent="0.45">
      <c r="A48" s="65"/>
      <c r="B48" s="65"/>
      <c r="C48" s="65" t="s">
        <v>94</v>
      </c>
      <c r="D48" s="65" t="s">
        <v>95</v>
      </c>
      <c r="E48" s="65">
        <v>345.5</v>
      </c>
      <c r="F48" s="65" t="s">
        <v>96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AC48" s="18"/>
      <c r="AD48" s="18"/>
      <c r="AE48" s="18"/>
      <c r="AF48" s="18"/>
      <c r="AG48" s="18"/>
      <c r="AQ48" s="19"/>
      <c r="AR48" s="24"/>
      <c r="AY48" s="25"/>
      <c r="AZ48" s="23"/>
      <c r="BA48" s="23"/>
      <c r="BB48" s="23"/>
      <c r="BC48" s="23"/>
    </row>
    <row r="49" spans="1:55" x14ac:dyDescent="0.45">
      <c r="A49" s="65"/>
      <c r="B49" s="65"/>
      <c r="C49" s="65"/>
      <c r="D49" s="65" t="s">
        <v>97</v>
      </c>
      <c r="E49" s="65">
        <f>E48*1000</f>
        <v>345500</v>
      </c>
      <c r="F49" s="65" t="s">
        <v>96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2">
        <f>Q47-P47</f>
        <v>0</v>
      </c>
      <c r="S49" s="65"/>
      <c r="T49" s="65"/>
      <c r="U49" s="65"/>
      <c r="V49" s="65"/>
      <c r="W49" s="65"/>
      <c r="X49" s="65"/>
      <c r="AC49" s="18"/>
      <c r="AD49" s="18"/>
      <c r="AE49" s="18"/>
      <c r="AF49" s="18"/>
      <c r="AG49" s="18"/>
      <c r="AQ49" s="19"/>
      <c r="AR49" s="24"/>
      <c r="AY49" s="25"/>
      <c r="AZ49" s="23"/>
      <c r="BA49" s="23"/>
      <c r="BB49" s="23"/>
      <c r="BC49" s="23"/>
    </row>
    <row r="50" spans="1:55" x14ac:dyDescent="0.45">
      <c r="A50" s="65"/>
      <c r="B50" s="65"/>
      <c r="C50" s="65"/>
      <c r="D50" s="65" t="s">
        <v>38</v>
      </c>
      <c r="E50" s="65">
        <f>E49*C59</f>
        <v>12196.495499999999</v>
      </c>
      <c r="F50" s="65" t="s">
        <v>96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>
        <v>0.16131375009563315</v>
      </c>
      <c r="S50" s="65"/>
      <c r="T50" s="65"/>
      <c r="U50" s="65"/>
      <c r="V50" s="65"/>
      <c r="W50" s="65"/>
      <c r="X50" s="65"/>
      <c r="AC50" s="18"/>
      <c r="AD50" s="18"/>
      <c r="AE50" s="18"/>
      <c r="AF50" s="18"/>
      <c r="AG50" s="18"/>
      <c r="AQ50" s="19"/>
      <c r="AR50" s="24"/>
      <c r="AY50" s="25"/>
      <c r="AZ50" s="23"/>
      <c r="BA50" s="23"/>
      <c r="BB50" s="23"/>
      <c r="BC50" s="23"/>
    </row>
    <row r="51" spans="1:55" x14ac:dyDescent="0.45">
      <c r="A51" s="65"/>
      <c r="B51" s="65"/>
      <c r="C51" s="65"/>
      <c r="D51" s="65" t="s">
        <v>98</v>
      </c>
      <c r="E51" s="65">
        <f>E49/6.28981</f>
        <v>54930.117125954523</v>
      </c>
      <c r="F51" s="65" t="s">
        <v>96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AC51" s="18"/>
      <c r="AD51" s="18"/>
      <c r="AE51" s="18"/>
      <c r="AF51" s="18"/>
      <c r="AG51" s="18"/>
      <c r="AQ51" s="19"/>
      <c r="AR51" s="24"/>
      <c r="AY51" s="25"/>
      <c r="AZ51" s="23"/>
      <c r="BA51" s="23"/>
      <c r="BB51" s="23"/>
      <c r="BC51" s="23"/>
    </row>
    <row r="52" spans="1:55" x14ac:dyDescent="0.4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AC52" s="18"/>
      <c r="AD52" s="18"/>
      <c r="AE52" s="18"/>
      <c r="AF52" s="18"/>
      <c r="AG52" s="18"/>
      <c r="AQ52" s="19"/>
      <c r="AR52" s="24"/>
      <c r="AY52" s="25"/>
      <c r="AZ52" s="23"/>
      <c r="BA52" s="23"/>
      <c r="BB52" s="23"/>
      <c r="BC52" s="23"/>
    </row>
    <row r="53" spans="1:55" x14ac:dyDescent="0.45">
      <c r="A53" s="65"/>
      <c r="B53" s="65"/>
      <c r="C53" s="65" t="s">
        <v>99</v>
      </c>
      <c r="D53" s="65">
        <v>4.53592E-4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AC53" s="18"/>
      <c r="AD53" s="18"/>
      <c r="AE53" s="18"/>
      <c r="AF53" s="18"/>
      <c r="AG53" s="18"/>
      <c r="AQ53" s="19"/>
      <c r="AR53" s="24"/>
      <c r="AY53" s="25"/>
      <c r="AZ53" s="23"/>
      <c r="BA53" s="23"/>
      <c r="BB53" s="23"/>
      <c r="BC53" s="23"/>
    </row>
    <row r="54" spans="1:55" x14ac:dyDescent="0.4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AC54" s="18"/>
      <c r="AD54" s="18"/>
      <c r="AE54" s="18"/>
      <c r="AF54" s="18"/>
      <c r="AG54" s="18"/>
      <c r="AQ54" s="19"/>
      <c r="AR54" s="24"/>
      <c r="AY54" s="25"/>
      <c r="AZ54" s="23"/>
      <c r="BA54" s="23"/>
      <c r="BB54" s="23"/>
      <c r="BC54" s="23"/>
    </row>
    <row r="55" spans="1:55" x14ac:dyDescent="0.45">
      <c r="A55" s="65"/>
      <c r="B55" s="65"/>
      <c r="C55" s="65" t="s">
        <v>100</v>
      </c>
      <c r="D55" s="65">
        <v>30.42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AC55" s="18"/>
      <c r="AD55" s="18"/>
      <c r="AE55" s="18"/>
      <c r="AF55" s="18"/>
      <c r="AG55" s="18"/>
      <c r="AQ55" s="19"/>
      <c r="AR55" s="24"/>
      <c r="AY55" s="25"/>
      <c r="AZ55" s="23"/>
      <c r="BA55" s="23"/>
      <c r="BB55" s="23"/>
      <c r="BC55" s="23"/>
    </row>
    <row r="56" spans="1:55" x14ac:dyDescent="0.4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AC56" s="18"/>
      <c r="AD56" s="18"/>
      <c r="AE56" s="18"/>
      <c r="AF56" s="18"/>
      <c r="AG56" s="18"/>
      <c r="AQ56" s="19"/>
      <c r="AR56" s="24"/>
      <c r="AY56" s="25"/>
      <c r="AZ56" s="23"/>
      <c r="BA56" s="23"/>
      <c r="BB56" s="23"/>
      <c r="BC56" s="23"/>
    </row>
    <row r="57" spans="1:55" x14ac:dyDescent="0.45">
      <c r="A57" s="65"/>
      <c r="B57" s="65"/>
      <c r="C57" s="65">
        <v>1</v>
      </c>
      <c r="D57" s="65" t="s">
        <v>97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AC57" s="18"/>
      <c r="AD57" s="18"/>
      <c r="AE57" s="18"/>
      <c r="AF57" s="18"/>
      <c r="AG57" s="18"/>
      <c r="AQ57" s="19"/>
      <c r="AR57" s="24"/>
      <c r="AY57" s="25"/>
      <c r="AZ57" s="23"/>
      <c r="BA57" s="23"/>
      <c r="BB57" s="23"/>
      <c r="BC57" s="23"/>
    </row>
    <row r="58" spans="1:55" x14ac:dyDescent="0.45">
      <c r="A58" s="65"/>
      <c r="B58" s="65"/>
      <c r="C58" s="65">
        <v>35.301000000000002</v>
      </c>
      <c r="D58" s="65" t="s">
        <v>101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AC58" s="18"/>
      <c r="AD58" s="18"/>
      <c r="AE58" s="18"/>
      <c r="AF58" s="18"/>
      <c r="AG58" s="18"/>
      <c r="AQ58" s="19"/>
      <c r="AR58" s="24"/>
      <c r="AY58" s="25"/>
      <c r="AZ58" s="23"/>
      <c r="BA58" s="23"/>
      <c r="BB58" s="23"/>
      <c r="BC58" s="23"/>
    </row>
    <row r="59" spans="1:55" x14ac:dyDescent="0.45">
      <c r="A59" s="65"/>
      <c r="B59" s="65"/>
      <c r="C59" s="65">
        <f>C58/1000</f>
        <v>3.5300999999999999E-2</v>
      </c>
      <c r="D59" s="65" t="s">
        <v>102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AC59" s="18"/>
      <c r="AD59" s="18"/>
      <c r="AE59" s="18"/>
      <c r="AF59" s="18"/>
      <c r="AG59" s="18"/>
      <c r="AQ59" s="19"/>
      <c r="AR59" s="24"/>
      <c r="AY59" s="25"/>
      <c r="AZ59" s="23"/>
      <c r="BA59" s="23"/>
      <c r="BB59" s="23"/>
      <c r="BC59" s="23"/>
    </row>
    <row r="60" spans="1:55" x14ac:dyDescent="0.4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AC60" s="18"/>
      <c r="AD60" s="18"/>
      <c r="AE60" s="18"/>
      <c r="AF60" s="18"/>
      <c r="AG60" s="18"/>
      <c r="AQ60" s="19"/>
      <c r="AR60" s="24"/>
      <c r="AY60" s="25"/>
      <c r="AZ60" s="23"/>
      <c r="BA60" s="23"/>
      <c r="BB60" s="23"/>
      <c r="BC60" s="23"/>
    </row>
    <row r="61" spans="1:55" x14ac:dyDescent="0.45">
      <c r="A61" s="65"/>
      <c r="B61" s="65"/>
      <c r="C61" s="65">
        <v>2.8299999999999999E-2</v>
      </c>
      <c r="D61" s="65" t="s">
        <v>103</v>
      </c>
      <c r="E61" s="65" t="s">
        <v>104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AC61" s="18"/>
      <c r="AD61" s="18"/>
      <c r="AE61" s="18"/>
      <c r="AF61" s="18"/>
      <c r="AG61" s="18"/>
      <c r="AQ61" s="19"/>
      <c r="AR61" s="24"/>
      <c r="AY61" s="25"/>
      <c r="AZ61" s="23"/>
      <c r="BA61" s="23"/>
      <c r="BB61" s="23"/>
      <c r="BC61" s="23"/>
    </row>
    <row r="62" spans="1:55" x14ac:dyDescent="0.45">
      <c r="A62" s="65"/>
      <c r="B62" s="65"/>
      <c r="C62" s="65">
        <f>E49/C61</f>
        <v>12208480.565371025</v>
      </c>
      <c r="D62" s="65" t="s">
        <v>105</v>
      </c>
      <c r="E62" s="65" t="s">
        <v>104</v>
      </c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AC62" s="18"/>
      <c r="AD62" s="18"/>
      <c r="AE62" s="18"/>
      <c r="AF62" s="18"/>
      <c r="AG62" s="18"/>
      <c r="AQ62" s="19"/>
      <c r="AR62" s="24"/>
      <c r="AY62" s="25"/>
      <c r="AZ62" s="23"/>
      <c r="BA62" s="23"/>
      <c r="BB62" s="23"/>
      <c r="BC62" s="23"/>
    </row>
    <row r="63" spans="1:55" x14ac:dyDescent="0.45">
      <c r="A63" s="65"/>
      <c r="B63" s="65"/>
      <c r="C63" s="65">
        <f>C62/1000</f>
        <v>12208.480565371025</v>
      </c>
      <c r="D63" s="65" t="s">
        <v>106</v>
      </c>
      <c r="E63" s="65" t="s">
        <v>104</v>
      </c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AC63" s="18"/>
      <c r="AD63" s="18"/>
      <c r="AE63" s="18"/>
      <c r="AF63" s="18"/>
      <c r="AG63" s="18"/>
      <c r="AQ63" s="19"/>
      <c r="AR63" s="24"/>
      <c r="AY63" s="25"/>
      <c r="AZ63" s="23"/>
      <c r="BA63" s="23"/>
      <c r="BB63" s="23"/>
      <c r="BC63" s="23"/>
    </row>
    <row r="64" spans="1:55" x14ac:dyDescent="0.45">
      <c r="A64" s="65"/>
      <c r="B64" s="65"/>
      <c r="C64" s="65">
        <f>C63/D55</f>
        <v>401.33072207005335</v>
      </c>
      <c r="D64" s="65" t="s">
        <v>107</v>
      </c>
      <c r="E64" s="65" t="s">
        <v>104</v>
      </c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AC64" s="18"/>
      <c r="AD64" s="18"/>
      <c r="AE64" s="18"/>
      <c r="AF64" s="18"/>
      <c r="AG64" s="18"/>
      <c r="AQ64" s="19"/>
      <c r="AR64" s="24"/>
      <c r="AY64" s="25"/>
      <c r="AZ64" s="23"/>
      <c r="BA64" s="23"/>
      <c r="BB64" s="23"/>
      <c r="BC64" s="23"/>
    </row>
    <row r="65" spans="1:55" x14ac:dyDescent="0.45">
      <c r="A65" s="65"/>
      <c r="B65" s="65"/>
      <c r="C65" s="65">
        <f>C64/E45</f>
        <v>10.033268051751334</v>
      </c>
      <c r="D65" s="65" t="s">
        <v>93</v>
      </c>
      <c r="E65" s="65" t="s">
        <v>104</v>
      </c>
      <c r="F65" s="65" t="s">
        <v>108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AC65" s="18"/>
      <c r="AD65" s="18"/>
      <c r="AE65" s="18"/>
      <c r="AF65" s="18"/>
      <c r="AG65" s="18"/>
      <c r="AQ65" s="19"/>
      <c r="AR65" s="24"/>
      <c r="AY65" s="25"/>
      <c r="AZ65" s="23"/>
      <c r="BA65" s="23"/>
      <c r="BB65" s="23"/>
      <c r="BC65" s="23"/>
    </row>
    <row r="66" spans="1:55" x14ac:dyDescent="0.4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AC66" s="18"/>
      <c r="AD66" s="18"/>
      <c r="AE66" s="18"/>
      <c r="AF66" s="18"/>
      <c r="AG66" s="18"/>
      <c r="AQ66" s="19"/>
      <c r="AR66" s="24"/>
      <c r="AY66" s="25"/>
      <c r="AZ66" s="23"/>
      <c r="BA66" s="23"/>
      <c r="BB66" s="23"/>
      <c r="BC66" s="23"/>
    </row>
    <row r="67" spans="1:55" x14ac:dyDescent="0.4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AC67" s="18"/>
      <c r="AD67" s="18"/>
      <c r="AE67" s="18"/>
      <c r="AF67" s="18"/>
      <c r="AG67" s="18"/>
      <c r="AQ67" s="19"/>
      <c r="AR67" s="24"/>
      <c r="AY67" s="25"/>
      <c r="AZ67" s="23"/>
      <c r="BA67" s="23"/>
      <c r="BB67" s="23"/>
      <c r="BC67" s="23"/>
    </row>
    <row r="68" spans="1:55" x14ac:dyDescent="0.4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AC68" s="18"/>
      <c r="AD68" s="18"/>
      <c r="AE68" s="18"/>
      <c r="AF68" s="18"/>
      <c r="AG68" s="18"/>
      <c r="AQ68" s="19"/>
      <c r="AR68" s="24"/>
      <c r="AY68" s="25"/>
      <c r="AZ68" s="23"/>
      <c r="BA68" s="23"/>
      <c r="BB68" s="23"/>
      <c r="BC68" s="23"/>
    </row>
    <row r="69" spans="1:55" x14ac:dyDescent="0.4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AC69" s="18"/>
      <c r="AD69" s="18"/>
      <c r="AE69" s="18"/>
      <c r="AF69" s="18"/>
      <c r="AG69" s="18"/>
      <c r="AQ69" s="19"/>
      <c r="AR69" s="24"/>
      <c r="AY69" s="25"/>
      <c r="AZ69" s="23"/>
      <c r="BA69" s="23"/>
      <c r="BB69" s="23"/>
      <c r="BC69" s="23"/>
    </row>
    <row r="70" spans="1:55" x14ac:dyDescent="0.4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AC70" s="18"/>
      <c r="AD70" s="18"/>
      <c r="AE70" s="18"/>
      <c r="AF70" s="18"/>
      <c r="AG70" s="18"/>
      <c r="AQ70" s="19"/>
      <c r="AR70" s="24"/>
      <c r="AY70" s="25"/>
      <c r="AZ70" s="23"/>
      <c r="BA70" s="23"/>
      <c r="BB70" s="23"/>
      <c r="BC70" s="23"/>
    </row>
    <row r="71" spans="1:55" x14ac:dyDescent="0.4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AC71" s="18"/>
      <c r="AD71" s="18"/>
      <c r="AE71" s="18"/>
      <c r="AF71" s="18"/>
      <c r="AG71" s="18"/>
      <c r="AQ71" s="19"/>
      <c r="AR71" s="24"/>
      <c r="AY71" s="25"/>
      <c r="AZ71" s="23"/>
      <c r="BA71" s="23"/>
      <c r="BB71" s="23"/>
      <c r="BC71" s="23"/>
    </row>
    <row r="72" spans="1:55" x14ac:dyDescent="0.4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AC72" s="18"/>
      <c r="AD72" s="18"/>
      <c r="AE72" s="18"/>
      <c r="AF72" s="18"/>
      <c r="AG72" s="18"/>
      <c r="AQ72" s="19"/>
      <c r="AR72" s="24"/>
      <c r="AY72" s="25"/>
      <c r="AZ72" s="23"/>
      <c r="BA72" s="23"/>
      <c r="BB72" s="23"/>
      <c r="BC72" s="23"/>
    </row>
    <row r="73" spans="1:55" x14ac:dyDescent="0.4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AC73" s="18"/>
      <c r="AD73" s="18"/>
      <c r="AE73" s="18"/>
      <c r="AF73" s="18"/>
      <c r="AG73" s="18"/>
      <c r="AQ73" s="19"/>
      <c r="AR73" s="24"/>
      <c r="AY73" s="25"/>
      <c r="AZ73" s="23"/>
      <c r="BA73" s="23"/>
      <c r="BB73" s="23"/>
      <c r="BC73" s="23"/>
    </row>
    <row r="74" spans="1:55" x14ac:dyDescent="0.4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AC74" s="18"/>
      <c r="AD74" s="18"/>
      <c r="AE74" s="18"/>
      <c r="AF74" s="18"/>
      <c r="AG74" s="18"/>
      <c r="AQ74" s="19"/>
      <c r="AR74" s="24"/>
      <c r="AY74" s="25"/>
      <c r="AZ74" s="23"/>
      <c r="BA74" s="23"/>
      <c r="BB74" s="23"/>
      <c r="BC74" s="23"/>
    </row>
    <row r="75" spans="1:55" x14ac:dyDescent="0.4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AC75" s="18"/>
      <c r="AD75" s="18"/>
      <c r="AE75" s="18"/>
      <c r="AF75" s="18"/>
      <c r="AG75" s="18"/>
      <c r="AQ75" s="19"/>
      <c r="AR75" s="24"/>
      <c r="AY75" s="25"/>
      <c r="AZ75" s="23"/>
      <c r="BA75" s="23"/>
      <c r="BB75" s="23"/>
      <c r="BC75" s="23"/>
    </row>
    <row r="76" spans="1:55" x14ac:dyDescent="0.4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AC76" s="18"/>
      <c r="AD76" s="18"/>
      <c r="AE76" s="18"/>
      <c r="AF76" s="18"/>
      <c r="AG76" s="18"/>
      <c r="AQ76" s="19"/>
      <c r="AR76" s="24"/>
      <c r="AY76" s="25"/>
      <c r="AZ76" s="23"/>
      <c r="BA76" s="23"/>
      <c r="BB76" s="23"/>
      <c r="BC76" s="23"/>
    </row>
    <row r="77" spans="1:55" x14ac:dyDescent="0.4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AC77" s="18"/>
      <c r="AD77" s="18"/>
      <c r="AE77" s="18"/>
      <c r="AF77" s="18"/>
      <c r="AG77" s="18"/>
      <c r="AQ77" s="19"/>
      <c r="AR77" s="24"/>
      <c r="AY77" s="25"/>
      <c r="AZ77" s="23"/>
      <c r="BA77" s="23"/>
      <c r="BB77" s="23"/>
      <c r="BC77" s="23"/>
    </row>
    <row r="78" spans="1:55" x14ac:dyDescent="0.4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AC78" s="18"/>
      <c r="AD78" s="18"/>
      <c r="AE78" s="18"/>
      <c r="AF78" s="18"/>
      <c r="AG78" s="18"/>
      <c r="AQ78" s="19"/>
      <c r="AR78" s="24"/>
      <c r="AY78" s="25"/>
      <c r="AZ78" s="23"/>
      <c r="BA78" s="23"/>
      <c r="BB78" s="23"/>
      <c r="BC78" s="23"/>
    </row>
    <row r="79" spans="1:55" x14ac:dyDescent="0.4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AC79" s="18"/>
      <c r="AD79" s="18"/>
      <c r="AE79" s="18"/>
      <c r="AF79" s="18"/>
      <c r="AG79" s="18"/>
      <c r="AQ79" s="19"/>
      <c r="AR79" s="24"/>
      <c r="AY79" s="25"/>
      <c r="AZ79" s="23"/>
      <c r="BA79" s="23"/>
      <c r="BB79" s="23"/>
      <c r="BC79" s="23"/>
    </row>
    <row r="80" spans="1:55" x14ac:dyDescent="0.4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AC80" s="18"/>
      <c r="AD80" s="18"/>
      <c r="AE80" s="18"/>
      <c r="AF80" s="18"/>
      <c r="AG80" s="18"/>
      <c r="AQ80" s="19"/>
      <c r="AR80" s="24"/>
      <c r="AY80" s="25"/>
      <c r="AZ80" s="23"/>
      <c r="BA80" s="23"/>
      <c r="BB80" s="23"/>
      <c r="BC80" s="23"/>
    </row>
    <row r="81" spans="1:55" x14ac:dyDescent="0.4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AC81" s="18"/>
      <c r="AD81" s="18"/>
      <c r="AE81" s="18"/>
      <c r="AF81" s="18"/>
      <c r="AG81" s="18"/>
      <c r="AQ81" s="19"/>
      <c r="AR81" s="24"/>
      <c r="AY81" s="25"/>
      <c r="AZ81" s="23"/>
      <c r="BA81" s="23"/>
      <c r="BB81" s="23"/>
      <c r="BC81" s="23"/>
    </row>
    <row r="82" spans="1:55" x14ac:dyDescent="0.4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AC82" s="18"/>
      <c r="AD82" s="18"/>
      <c r="AE82" s="18"/>
      <c r="AF82" s="18"/>
      <c r="AG82" s="18"/>
      <c r="AQ82" s="19"/>
      <c r="AR82" s="24"/>
      <c r="AY82" s="25"/>
      <c r="AZ82" s="23"/>
      <c r="BA82" s="23"/>
      <c r="BB82" s="23"/>
      <c r="BC82" s="23"/>
    </row>
    <row r="83" spans="1:55" x14ac:dyDescent="0.4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AC83" s="18"/>
      <c r="AD83" s="18"/>
      <c r="AE83" s="18"/>
      <c r="AF83" s="18"/>
      <c r="AG83" s="18"/>
      <c r="AQ83" s="19"/>
      <c r="AR83" s="24"/>
      <c r="AY83" s="25"/>
      <c r="AZ83" s="23"/>
      <c r="BA83" s="23"/>
      <c r="BB83" s="23"/>
      <c r="BC83" s="23"/>
    </row>
    <row r="84" spans="1:55" x14ac:dyDescent="0.4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AC84" s="18"/>
      <c r="AD84" s="18"/>
      <c r="AE84" s="18"/>
      <c r="AF84" s="18"/>
      <c r="AG84" s="18"/>
      <c r="AQ84" s="19"/>
      <c r="AR84" s="24"/>
      <c r="AY84" s="25"/>
      <c r="AZ84" s="23"/>
      <c r="BA84" s="23"/>
      <c r="BB84" s="23"/>
      <c r="BC84" s="23"/>
    </row>
    <row r="85" spans="1:55" x14ac:dyDescent="0.4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AC85" s="18"/>
      <c r="AD85" s="18"/>
      <c r="AE85" s="18"/>
      <c r="AF85" s="18"/>
      <c r="AG85" s="18"/>
      <c r="AQ85" s="19"/>
      <c r="AR85" s="24"/>
      <c r="AY85" s="25"/>
      <c r="AZ85" s="23"/>
      <c r="BA85" s="23"/>
      <c r="BB85" s="23"/>
      <c r="BC85" s="23"/>
    </row>
    <row r="86" spans="1:55" x14ac:dyDescent="0.4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AC86" s="18"/>
      <c r="AD86" s="18"/>
      <c r="AE86" s="18"/>
      <c r="AF86" s="18"/>
      <c r="AG86" s="18"/>
      <c r="AQ86" s="19"/>
      <c r="AR86" s="24"/>
      <c r="AY86" s="25"/>
      <c r="AZ86" s="23"/>
      <c r="BA86" s="23"/>
      <c r="BB86" s="23"/>
      <c r="BC86" s="23"/>
    </row>
    <row r="87" spans="1:55" x14ac:dyDescent="0.4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AC87" s="18"/>
      <c r="AD87" s="18"/>
      <c r="AE87" s="18"/>
      <c r="AF87" s="18"/>
      <c r="AG87" s="18"/>
      <c r="AQ87" s="19"/>
      <c r="AR87" s="24"/>
      <c r="AY87" s="25"/>
      <c r="AZ87" s="23"/>
      <c r="BA87" s="23"/>
      <c r="BB87" s="23"/>
      <c r="BC87" s="23"/>
    </row>
    <row r="88" spans="1:55" x14ac:dyDescent="0.4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AC88" s="18"/>
      <c r="AD88" s="18"/>
      <c r="AE88" s="18"/>
      <c r="AF88" s="18"/>
      <c r="AG88" s="18"/>
      <c r="AQ88" s="19"/>
      <c r="AR88" s="24"/>
      <c r="AY88" s="25"/>
      <c r="AZ88" s="23"/>
      <c r="BA88" s="23"/>
      <c r="BB88" s="23"/>
      <c r="BC88" s="23"/>
    </row>
    <row r="89" spans="1:55" x14ac:dyDescent="0.4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AC89" s="18"/>
      <c r="AD89" s="18"/>
      <c r="AE89" s="18"/>
      <c r="AF89" s="18"/>
      <c r="AG89" s="18"/>
      <c r="AQ89" s="19"/>
      <c r="AR89" s="24"/>
      <c r="AY89" s="25"/>
      <c r="AZ89" s="23"/>
      <c r="BA89" s="23"/>
      <c r="BB89" s="23"/>
      <c r="BC89" s="23"/>
    </row>
    <row r="90" spans="1:55" x14ac:dyDescent="0.4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AC90" s="18"/>
      <c r="AD90" s="18"/>
      <c r="AE90" s="18"/>
      <c r="AF90" s="18"/>
      <c r="AG90" s="18"/>
      <c r="AQ90" s="19"/>
      <c r="AR90" s="24"/>
      <c r="AY90" s="25"/>
      <c r="AZ90" s="23"/>
      <c r="BA90" s="23"/>
      <c r="BB90" s="23"/>
      <c r="BC90" s="23"/>
    </row>
    <row r="91" spans="1:55" x14ac:dyDescent="0.4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AC91" s="18"/>
      <c r="AD91" s="18"/>
      <c r="AE91" s="18"/>
      <c r="AF91" s="18"/>
      <c r="AG91" s="18"/>
      <c r="AQ91" s="19"/>
      <c r="AR91" s="24"/>
      <c r="AY91" s="25"/>
      <c r="AZ91" s="23"/>
      <c r="BA91" s="23"/>
      <c r="BB91" s="23"/>
      <c r="BC91" s="23"/>
    </row>
    <row r="92" spans="1:55" x14ac:dyDescent="0.4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AC92" s="18"/>
      <c r="AD92" s="18"/>
      <c r="AE92" s="18"/>
      <c r="AF92" s="18"/>
      <c r="AG92" s="18"/>
      <c r="AQ92" s="19"/>
      <c r="AR92" s="24"/>
      <c r="AY92" s="25"/>
      <c r="AZ92" s="23"/>
      <c r="BA92" s="23"/>
      <c r="BB92" s="23"/>
      <c r="BC92" s="23"/>
    </row>
    <row r="93" spans="1:55" x14ac:dyDescent="0.4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AC93" s="18"/>
      <c r="AD93" s="18"/>
      <c r="AE93" s="18"/>
      <c r="AF93" s="18"/>
      <c r="AG93" s="18"/>
      <c r="AQ93" s="19"/>
      <c r="AR93" s="24"/>
      <c r="AY93" s="25"/>
      <c r="AZ93" s="23"/>
      <c r="BA93" s="23"/>
      <c r="BB93" s="23"/>
      <c r="BC93" s="23"/>
    </row>
    <row r="94" spans="1:55" x14ac:dyDescent="0.4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AC94" s="18"/>
      <c r="AD94" s="18"/>
      <c r="AE94" s="18"/>
      <c r="AF94" s="18"/>
      <c r="AG94" s="18"/>
      <c r="AQ94" s="19"/>
      <c r="AR94" s="24"/>
      <c r="AY94" s="25"/>
      <c r="AZ94" s="23"/>
      <c r="BA94" s="23"/>
      <c r="BB94" s="23"/>
      <c r="BC94" s="23"/>
    </row>
    <row r="95" spans="1:55" x14ac:dyDescent="0.4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AC95" s="18"/>
      <c r="AD95" s="18"/>
      <c r="AE95" s="18"/>
      <c r="AF95" s="18"/>
      <c r="AG95" s="18"/>
      <c r="AQ95" s="19"/>
      <c r="AR95" s="24"/>
      <c r="AY95" s="25"/>
      <c r="AZ95" s="23"/>
      <c r="BA95" s="23"/>
      <c r="BB95" s="23"/>
      <c r="BC95" s="23"/>
    </row>
    <row r="96" spans="1:55" x14ac:dyDescent="0.4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AC96" s="18"/>
      <c r="AD96" s="18"/>
      <c r="AE96" s="18"/>
      <c r="AF96" s="18"/>
      <c r="AG96" s="18"/>
      <c r="AQ96" s="19"/>
      <c r="AR96" s="24"/>
      <c r="AY96" s="25"/>
      <c r="AZ96" s="23"/>
      <c r="BA96" s="23"/>
      <c r="BB96" s="23"/>
      <c r="BC96" s="23"/>
    </row>
    <row r="97" spans="1:55" x14ac:dyDescent="0.4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AC97" s="18"/>
      <c r="AD97" s="18"/>
      <c r="AE97" s="18"/>
      <c r="AF97" s="18"/>
      <c r="AG97" s="18"/>
      <c r="AQ97" s="19"/>
      <c r="AR97" s="24"/>
      <c r="AY97" s="25"/>
      <c r="AZ97" s="23"/>
      <c r="BA97" s="23"/>
      <c r="BB97" s="23"/>
      <c r="BC97" s="23"/>
    </row>
    <row r="98" spans="1:55" x14ac:dyDescent="0.4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AC98" s="18"/>
      <c r="AD98" s="18"/>
      <c r="AE98" s="18"/>
      <c r="AF98" s="18"/>
      <c r="AG98" s="18"/>
      <c r="AQ98" s="19"/>
      <c r="AR98" s="24"/>
      <c r="AY98" s="25"/>
      <c r="AZ98" s="23"/>
      <c r="BA98" s="23"/>
      <c r="BB98" s="23"/>
      <c r="BC98" s="23"/>
    </row>
    <row r="99" spans="1:55" x14ac:dyDescent="0.4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AC99" s="18"/>
      <c r="AD99" s="18"/>
      <c r="AE99" s="18"/>
      <c r="AF99" s="18"/>
      <c r="AG99" s="18"/>
      <c r="AQ99" s="19"/>
      <c r="AR99" s="24"/>
      <c r="AY99" s="25"/>
      <c r="AZ99" s="23"/>
      <c r="BA99" s="23"/>
      <c r="BB99" s="23"/>
      <c r="BC99" s="23"/>
    </row>
    <row r="100" spans="1:55" x14ac:dyDescent="0.4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AC100" s="18"/>
      <c r="AD100" s="18"/>
      <c r="AE100" s="18"/>
      <c r="AF100" s="18"/>
      <c r="AG100" s="18"/>
      <c r="AQ100" s="19"/>
      <c r="AR100" s="24"/>
      <c r="AY100" s="25"/>
      <c r="AZ100" s="23"/>
      <c r="BA100" s="23"/>
      <c r="BB100" s="23"/>
      <c r="BC100" s="23"/>
    </row>
    <row r="101" spans="1:55" x14ac:dyDescent="0.4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AC101" s="18"/>
      <c r="AD101" s="18"/>
      <c r="AE101" s="18"/>
      <c r="AF101" s="18"/>
      <c r="AG101" s="18"/>
      <c r="AQ101" s="19"/>
      <c r="AR101" s="24"/>
      <c r="AY101" s="25"/>
      <c r="AZ101" s="23"/>
      <c r="BA101" s="23"/>
      <c r="BB101" s="23"/>
      <c r="BC101" s="23"/>
    </row>
    <row r="102" spans="1:55" x14ac:dyDescent="0.4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AC102" s="18"/>
      <c r="AD102" s="18"/>
      <c r="AE102" s="18"/>
      <c r="AF102" s="18"/>
      <c r="AG102" s="18"/>
      <c r="AQ102" s="19"/>
      <c r="AR102" s="24"/>
      <c r="AY102" s="25"/>
      <c r="AZ102" s="23"/>
      <c r="BA102" s="23"/>
      <c r="BB102" s="23"/>
      <c r="BC102" s="23"/>
    </row>
    <row r="103" spans="1:55" x14ac:dyDescent="0.4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AC103" s="18"/>
      <c r="AD103" s="18"/>
      <c r="AE103" s="18"/>
      <c r="AF103" s="18"/>
      <c r="AG103" s="18"/>
      <c r="AQ103" s="19"/>
      <c r="AR103" s="24"/>
      <c r="AY103" s="25"/>
      <c r="AZ103" s="23"/>
      <c r="BA103" s="23"/>
      <c r="BB103" s="23"/>
      <c r="BC103" s="23"/>
    </row>
    <row r="104" spans="1:55" x14ac:dyDescent="0.4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AC104" s="18"/>
      <c r="AD104" s="18"/>
      <c r="AE104" s="18"/>
      <c r="AF104" s="18"/>
      <c r="AG104" s="18"/>
      <c r="AQ104" s="19"/>
      <c r="AR104" s="24"/>
      <c r="AY104" s="25"/>
      <c r="AZ104" s="23"/>
      <c r="BA104" s="23"/>
      <c r="BB104" s="23"/>
      <c r="BC104" s="23"/>
    </row>
    <row r="105" spans="1:55" x14ac:dyDescent="0.4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AC105" s="18"/>
      <c r="AD105" s="18"/>
      <c r="AE105" s="18"/>
      <c r="AF105" s="18"/>
      <c r="AG105" s="18"/>
      <c r="AQ105" s="19"/>
      <c r="AR105" s="24"/>
      <c r="AY105" s="25"/>
      <c r="AZ105" s="23"/>
      <c r="BA105" s="23"/>
      <c r="BB105" s="23"/>
      <c r="BC105" s="23"/>
    </row>
    <row r="106" spans="1:55" x14ac:dyDescent="0.4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AC106" s="18"/>
      <c r="AD106" s="18"/>
      <c r="AE106" s="18"/>
      <c r="AF106" s="18"/>
      <c r="AG106" s="18"/>
      <c r="AQ106" s="19"/>
      <c r="AR106" s="24"/>
      <c r="AY106" s="25"/>
      <c r="AZ106" s="23"/>
      <c r="BA106" s="23"/>
      <c r="BB106" s="23"/>
      <c r="BC106" s="23"/>
    </row>
    <row r="107" spans="1:55" x14ac:dyDescent="0.4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AC107" s="18"/>
      <c r="AD107" s="18"/>
      <c r="AE107" s="18"/>
      <c r="AF107" s="18"/>
      <c r="AG107" s="18"/>
      <c r="AQ107" s="19"/>
      <c r="AR107" s="24"/>
      <c r="AY107" s="25"/>
      <c r="AZ107" s="23"/>
      <c r="BA107" s="23"/>
      <c r="BB107" s="23"/>
      <c r="BC107" s="23"/>
    </row>
    <row r="108" spans="1:55" x14ac:dyDescent="0.4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AC108" s="18"/>
      <c r="AD108" s="18"/>
      <c r="AE108" s="18"/>
      <c r="AF108" s="18"/>
      <c r="AG108" s="18"/>
      <c r="AQ108" s="19"/>
      <c r="AR108" s="24"/>
      <c r="AY108" s="25"/>
      <c r="AZ108" s="23"/>
      <c r="BA108" s="23"/>
      <c r="BB108" s="23"/>
      <c r="BC108" s="23"/>
    </row>
    <row r="109" spans="1:55" x14ac:dyDescent="0.4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AC109" s="18"/>
      <c r="AD109" s="18"/>
      <c r="AE109" s="18"/>
      <c r="AF109" s="18"/>
      <c r="AG109" s="18"/>
      <c r="AQ109" s="19"/>
      <c r="AR109" s="24"/>
      <c r="AY109" s="25"/>
      <c r="AZ109" s="23"/>
      <c r="BA109" s="23"/>
      <c r="BB109" s="23"/>
      <c r="BC109" s="23"/>
    </row>
    <row r="110" spans="1:55" x14ac:dyDescent="0.4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AC110" s="18"/>
      <c r="AD110" s="18"/>
      <c r="AE110" s="18"/>
      <c r="AF110" s="18"/>
      <c r="AG110" s="18"/>
      <c r="AQ110" s="19"/>
      <c r="AR110" s="24"/>
      <c r="AY110" s="25"/>
      <c r="AZ110" s="23"/>
      <c r="BA110" s="23"/>
      <c r="BB110" s="23"/>
      <c r="BC110" s="23"/>
    </row>
    <row r="111" spans="1:55" x14ac:dyDescent="0.4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AC111" s="18"/>
      <c r="AD111" s="18"/>
      <c r="AE111" s="18"/>
      <c r="AF111" s="18"/>
      <c r="AG111" s="18"/>
      <c r="AQ111" s="19"/>
      <c r="AR111" s="24"/>
      <c r="AY111" s="25"/>
      <c r="AZ111" s="23"/>
      <c r="BA111" s="23"/>
      <c r="BB111" s="23"/>
      <c r="BC111" s="23"/>
    </row>
    <row r="112" spans="1:55" x14ac:dyDescent="0.4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AC112" s="18"/>
      <c r="AD112" s="18"/>
      <c r="AE112" s="18"/>
      <c r="AF112" s="18"/>
      <c r="AG112" s="18"/>
      <c r="AQ112" s="19"/>
      <c r="AR112" s="24"/>
      <c r="AY112" s="25"/>
      <c r="AZ112" s="23"/>
      <c r="BA112" s="23"/>
      <c r="BB112" s="23"/>
      <c r="BC112" s="23"/>
    </row>
    <row r="113" spans="1:55" x14ac:dyDescent="0.4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AC113" s="18"/>
      <c r="AD113" s="18"/>
      <c r="AE113" s="18"/>
      <c r="AF113" s="18"/>
      <c r="AG113" s="18"/>
      <c r="AQ113" s="19"/>
      <c r="AR113" s="24"/>
      <c r="AY113" s="25"/>
      <c r="AZ113" s="23"/>
      <c r="BA113" s="23"/>
      <c r="BB113" s="23"/>
      <c r="BC113" s="23"/>
    </row>
    <row r="114" spans="1:55" x14ac:dyDescent="0.4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AC114" s="18"/>
      <c r="AD114" s="18"/>
      <c r="AE114" s="18"/>
      <c r="AF114" s="18"/>
      <c r="AG114" s="18"/>
      <c r="AQ114" s="19"/>
      <c r="AR114" s="24"/>
      <c r="AY114" s="25"/>
      <c r="AZ114" s="23"/>
      <c r="BA114" s="23"/>
      <c r="BB114" s="23"/>
      <c r="BC114" s="23"/>
    </row>
    <row r="115" spans="1:55" x14ac:dyDescent="0.4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AC115" s="18"/>
      <c r="AD115" s="18"/>
      <c r="AE115" s="18"/>
      <c r="AF115" s="18"/>
      <c r="AG115" s="18"/>
      <c r="AQ115" s="19"/>
      <c r="AR115" s="24"/>
      <c r="AY115" s="25"/>
      <c r="AZ115" s="23"/>
      <c r="BA115" s="23"/>
      <c r="BB115" s="23"/>
      <c r="BC115" s="23"/>
    </row>
    <row r="116" spans="1:55" x14ac:dyDescent="0.4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AC116" s="18"/>
      <c r="AD116" s="18"/>
      <c r="AE116" s="18"/>
      <c r="AF116" s="18"/>
      <c r="AG116" s="18"/>
      <c r="AQ116" s="19"/>
      <c r="AR116" s="24"/>
      <c r="AY116" s="25"/>
      <c r="AZ116" s="23"/>
      <c r="BA116" s="23"/>
      <c r="BB116" s="23"/>
      <c r="BC116" s="23"/>
    </row>
    <row r="117" spans="1:55" x14ac:dyDescent="0.4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AC117" s="18"/>
      <c r="AD117" s="18"/>
      <c r="AE117" s="18"/>
      <c r="AF117" s="18"/>
      <c r="AG117" s="18"/>
      <c r="AQ117" s="19"/>
      <c r="AR117" s="24"/>
      <c r="AY117" s="25"/>
      <c r="AZ117" s="23"/>
      <c r="BA117" s="23"/>
      <c r="BB117" s="23"/>
      <c r="BC117" s="23"/>
    </row>
    <row r="118" spans="1:55" x14ac:dyDescent="0.4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AC118" s="18"/>
      <c r="AD118" s="18"/>
      <c r="AE118" s="18"/>
      <c r="AF118" s="18"/>
      <c r="AG118" s="18"/>
      <c r="AQ118" s="19"/>
      <c r="AR118" s="24"/>
      <c r="AY118" s="25"/>
      <c r="AZ118" s="23"/>
      <c r="BA118" s="23"/>
      <c r="BB118" s="23"/>
      <c r="BC118" s="23"/>
    </row>
    <row r="119" spans="1:55" x14ac:dyDescent="0.4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AC119" s="18"/>
      <c r="AD119" s="18"/>
      <c r="AE119" s="18"/>
      <c r="AF119" s="18"/>
      <c r="AG119" s="18"/>
      <c r="AQ119" s="19"/>
      <c r="AR119" s="24"/>
      <c r="AY119" s="25"/>
      <c r="AZ119" s="23"/>
      <c r="BA119" s="23"/>
      <c r="BB119" s="23"/>
      <c r="BC119" s="23"/>
    </row>
    <row r="120" spans="1:55" x14ac:dyDescent="0.4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AC120" s="18"/>
      <c r="AD120" s="18"/>
      <c r="AE120" s="18"/>
      <c r="AF120" s="18"/>
      <c r="AG120" s="18"/>
      <c r="AQ120" s="19"/>
      <c r="AR120" s="24"/>
      <c r="AY120" s="25"/>
      <c r="AZ120" s="23"/>
      <c r="BA120" s="23"/>
      <c r="BB120" s="23"/>
      <c r="BC120" s="23"/>
    </row>
    <row r="121" spans="1:55" x14ac:dyDescent="0.4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AC121" s="18"/>
      <c r="AD121" s="18"/>
      <c r="AE121" s="18"/>
      <c r="AF121" s="18"/>
      <c r="AG121" s="18"/>
      <c r="AQ121" s="19"/>
      <c r="AR121" s="24"/>
      <c r="AY121" s="25"/>
      <c r="AZ121" s="23"/>
      <c r="BA121" s="23"/>
      <c r="BB121" s="23"/>
      <c r="BC121" s="23"/>
    </row>
    <row r="122" spans="1:55" x14ac:dyDescent="0.4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AC122" s="18"/>
      <c r="AD122" s="18"/>
      <c r="AE122" s="18"/>
      <c r="AF122" s="18"/>
      <c r="AG122" s="18"/>
      <c r="AQ122" s="19"/>
      <c r="AR122" s="24"/>
      <c r="AY122" s="25"/>
      <c r="AZ122" s="23"/>
      <c r="BA122" s="23"/>
      <c r="BB122" s="23"/>
      <c r="BC122" s="23"/>
    </row>
    <row r="123" spans="1:55" x14ac:dyDescent="0.4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AC123" s="18"/>
      <c r="AD123" s="18"/>
      <c r="AE123" s="18"/>
      <c r="AF123" s="18"/>
      <c r="AG123" s="18"/>
      <c r="AQ123" s="19"/>
      <c r="AR123" s="24"/>
      <c r="AY123" s="25"/>
      <c r="AZ123" s="23"/>
      <c r="BA123" s="23"/>
      <c r="BB123" s="23"/>
      <c r="BC123" s="23"/>
    </row>
    <row r="124" spans="1:55" x14ac:dyDescent="0.4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AC124" s="18"/>
      <c r="AD124" s="18"/>
      <c r="AE124" s="18"/>
      <c r="AF124" s="18"/>
      <c r="AG124" s="18"/>
      <c r="AQ124" s="19"/>
      <c r="AR124" s="24"/>
      <c r="AY124" s="25"/>
      <c r="AZ124" s="23"/>
      <c r="BA124" s="23"/>
      <c r="BB124" s="23"/>
      <c r="BC124" s="23"/>
    </row>
    <row r="125" spans="1:55" x14ac:dyDescent="0.4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AC125" s="18"/>
      <c r="AD125" s="18"/>
      <c r="AE125" s="18"/>
      <c r="AF125" s="18"/>
      <c r="AG125" s="18"/>
      <c r="AQ125" s="19"/>
      <c r="AR125" s="24"/>
      <c r="AY125" s="25"/>
      <c r="AZ125" s="23"/>
      <c r="BA125" s="23"/>
      <c r="BB125" s="23"/>
      <c r="BC125" s="23"/>
    </row>
    <row r="126" spans="1:55" x14ac:dyDescent="0.4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AC126" s="18"/>
      <c r="AD126" s="18"/>
      <c r="AE126" s="18"/>
      <c r="AF126" s="18"/>
      <c r="AG126" s="18"/>
      <c r="AQ126" s="19"/>
      <c r="AR126" s="24"/>
      <c r="AY126" s="25"/>
      <c r="AZ126" s="23"/>
      <c r="BA126" s="23"/>
      <c r="BB126" s="23"/>
      <c r="BC126" s="23"/>
    </row>
    <row r="127" spans="1:55" x14ac:dyDescent="0.4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AC127" s="18"/>
      <c r="AD127" s="18"/>
      <c r="AE127" s="18"/>
      <c r="AF127" s="18"/>
      <c r="AG127" s="18"/>
      <c r="AQ127" s="19"/>
      <c r="AR127" s="24"/>
      <c r="AY127" s="25"/>
      <c r="AZ127" s="23"/>
      <c r="BA127" s="23"/>
      <c r="BB127" s="23"/>
      <c r="BC127" s="23"/>
    </row>
    <row r="128" spans="1:55" x14ac:dyDescent="0.4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AC128" s="18"/>
      <c r="AD128" s="18"/>
      <c r="AE128" s="18"/>
      <c r="AF128" s="18"/>
      <c r="AG128" s="18"/>
      <c r="AQ128" s="19"/>
      <c r="AR128" s="24"/>
      <c r="AY128" s="25"/>
      <c r="AZ128" s="23"/>
      <c r="BA128" s="23"/>
      <c r="BB128" s="23"/>
      <c r="BC128" s="23"/>
    </row>
    <row r="129" spans="1:55" x14ac:dyDescent="0.4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AC129" s="18"/>
      <c r="AD129" s="18"/>
      <c r="AE129" s="18"/>
      <c r="AF129" s="18"/>
      <c r="AG129" s="18"/>
      <c r="AQ129" s="19"/>
      <c r="AR129" s="24"/>
      <c r="AY129" s="25"/>
      <c r="AZ129" s="23"/>
      <c r="BA129" s="23"/>
      <c r="BB129" s="23"/>
      <c r="BC129" s="23"/>
    </row>
    <row r="130" spans="1:55" x14ac:dyDescent="0.4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AC130" s="18"/>
      <c r="AD130" s="18"/>
      <c r="AE130" s="18"/>
      <c r="AF130" s="18"/>
      <c r="AG130" s="18"/>
      <c r="AQ130" s="19"/>
      <c r="AR130" s="24"/>
      <c r="AY130" s="25"/>
      <c r="AZ130" s="23"/>
      <c r="BA130" s="23"/>
      <c r="BB130" s="23"/>
      <c r="BC130" s="23"/>
    </row>
    <row r="131" spans="1:55" x14ac:dyDescent="0.4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AC131" s="18"/>
      <c r="AD131" s="18"/>
      <c r="AE131" s="18"/>
      <c r="AF131" s="18"/>
      <c r="AG131" s="18"/>
      <c r="AQ131" s="19"/>
      <c r="AR131" s="24"/>
      <c r="AY131" s="25"/>
      <c r="AZ131" s="23"/>
      <c r="BA131" s="23"/>
      <c r="BB131" s="23"/>
      <c r="BC131" s="23"/>
    </row>
    <row r="132" spans="1:55" x14ac:dyDescent="0.4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AC132" s="18"/>
      <c r="AD132" s="18"/>
      <c r="AE132" s="18"/>
      <c r="AF132" s="18"/>
      <c r="AG132" s="18"/>
      <c r="AQ132" s="19"/>
      <c r="AR132" s="24"/>
      <c r="AY132" s="25"/>
      <c r="AZ132" s="23"/>
      <c r="BA132" s="23"/>
      <c r="BB132" s="23"/>
      <c r="BC132" s="23"/>
    </row>
    <row r="133" spans="1:55" x14ac:dyDescent="0.4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AC133" s="18"/>
      <c r="AD133" s="18"/>
      <c r="AE133" s="18"/>
      <c r="AF133" s="18"/>
      <c r="AG133" s="18"/>
      <c r="AQ133" s="19"/>
      <c r="AR133" s="24"/>
      <c r="AY133" s="25"/>
      <c r="AZ133" s="23"/>
      <c r="BA133" s="23"/>
      <c r="BB133" s="23"/>
      <c r="BC133" s="23"/>
    </row>
    <row r="134" spans="1:55" x14ac:dyDescent="0.4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AC134" s="18"/>
      <c r="AD134" s="18"/>
      <c r="AE134" s="18"/>
      <c r="AF134" s="18"/>
      <c r="AG134" s="18"/>
      <c r="AQ134" s="19"/>
      <c r="AR134" s="24"/>
      <c r="AY134" s="25"/>
      <c r="AZ134" s="23"/>
      <c r="BA134" s="23"/>
      <c r="BB134" s="23"/>
      <c r="BC134" s="23"/>
    </row>
    <row r="135" spans="1:55" x14ac:dyDescent="0.4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AC135" s="18"/>
      <c r="AD135" s="18"/>
      <c r="AE135" s="18"/>
      <c r="AF135" s="18"/>
      <c r="AG135" s="18"/>
      <c r="AQ135" s="19"/>
      <c r="AR135" s="24"/>
      <c r="AY135" s="25"/>
      <c r="AZ135" s="23"/>
      <c r="BA135" s="23"/>
      <c r="BB135" s="23"/>
      <c r="BC135" s="23"/>
    </row>
    <row r="136" spans="1:55" x14ac:dyDescent="0.4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AC136" s="18"/>
      <c r="AD136" s="18"/>
      <c r="AE136" s="18"/>
      <c r="AF136" s="18"/>
      <c r="AG136" s="18"/>
      <c r="AQ136" s="19"/>
      <c r="AR136" s="24"/>
      <c r="AY136" s="25"/>
      <c r="AZ136" s="23"/>
      <c r="BA136" s="23"/>
      <c r="BB136" s="23"/>
      <c r="BC136" s="23"/>
    </row>
    <row r="137" spans="1:55" x14ac:dyDescent="0.45">
      <c r="AC137" s="18"/>
      <c r="AD137" s="18"/>
      <c r="AE137" s="18"/>
      <c r="AF137" s="18"/>
      <c r="AG137" s="18"/>
      <c r="AQ137" s="19"/>
      <c r="AR137" s="24"/>
      <c r="AY137" s="25"/>
      <c r="AZ137" s="23"/>
      <c r="BA137" s="23"/>
      <c r="BB137" s="23"/>
      <c r="BC137" s="23"/>
    </row>
    <row r="138" spans="1:55" x14ac:dyDescent="0.45">
      <c r="AC138" s="18"/>
      <c r="AD138" s="18"/>
      <c r="AE138" s="18"/>
      <c r="AF138" s="18"/>
      <c r="AG138" s="18"/>
      <c r="AQ138" s="19"/>
      <c r="AR138" s="24"/>
      <c r="AY138" s="25"/>
      <c r="AZ138" s="23"/>
      <c r="BA138" s="23"/>
      <c r="BB138" s="23"/>
      <c r="BC138" s="23"/>
    </row>
    <row r="139" spans="1:55" x14ac:dyDescent="0.45">
      <c r="AC139" s="18"/>
      <c r="AD139" s="18"/>
      <c r="AE139" s="18"/>
      <c r="AF139" s="18"/>
      <c r="AG139" s="18"/>
      <c r="AQ139" s="19"/>
      <c r="AR139" s="24"/>
      <c r="AY139" s="25"/>
      <c r="AZ139" s="23"/>
      <c r="BA139" s="23"/>
      <c r="BB139" s="23"/>
      <c r="BC139" s="23"/>
    </row>
    <row r="140" spans="1:55" x14ac:dyDescent="0.45">
      <c r="AC140" s="18"/>
      <c r="AD140" s="18"/>
      <c r="AE140" s="18"/>
      <c r="AF140" s="18"/>
      <c r="AG140" s="18"/>
      <c r="AQ140" s="19"/>
      <c r="AR140" s="24"/>
      <c r="AY140" s="25"/>
      <c r="AZ140" s="23"/>
      <c r="BA140" s="23"/>
      <c r="BB140" s="23"/>
      <c r="BC140" s="23"/>
    </row>
    <row r="141" spans="1:55" x14ac:dyDescent="0.45">
      <c r="AC141" s="18"/>
      <c r="AD141" s="18"/>
      <c r="AE141" s="18"/>
      <c r="AF141" s="18"/>
      <c r="AG141" s="18"/>
      <c r="AQ141" s="19"/>
      <c r="AR141" s="24"/>
      <c r="AY141" s="25"/>
      <c r="AZ141" s="23"/>
      <c r="BA141" s="23"/>
      <c r="BB141" s="23"/>
      <c r="BC141" s="23"/>
    </row>
    <row r="142" spans="1:55" x14ac:dyDescent="0.45">
      <c r="AC142" s="18"/>
      <c r="AD142" s="18"/>
      <c r="AE142" s="18"/>
      <c r="AF142" s="18"/>
      <c r="AG142" s="18"/>
      <c r="AQ142" s="19"/>
      <c r="AR142" s="24"/>
      <c r="AY142" s="25"/>
      <c r="AZ142" s="23"/>
      <c r="BA142" s="23"/>
      <c r="BB142" s="23"/>
      <c r="BC142" s="23"/>
    </row>
    <row r="143" spans="1:55" x14ac:dyDescent="0.45">
      <c r="AC143" s="18"/>
      <c r="AD143" s="18"/>
      <c r="AE143" s="18"/>
      <c r="AF143" s="18"/>
      <c r="AG143" s="18"/>
      <c r="AQ143" s="19"/>
      <c r="AR143" s="24"/>
      <c r="AY143" s="25"/>
      <c r="AZ143" s="23"/>
      <c r="BA143" s="23"/>
      <c r="BB143" s="23"/>
      <c r="BC143" s="23"/>
    </row>
    <row r="144" spans="1:55" x14ac:dyDescent="0.45">
      <c r="AC144" s="18"/>
      <c r="AD144" s="18"/>
      <c r="AE144" s="18"/>
      <c r="AF144" s="18"/>
      <c r="AG144" s="18"/>
      <c r="AQ144" s="19"/>
      <c r="AR144" s="24"/>
      <c r="AY144" s="25"/>
      <c r="AZ144" s="23"/>
      <c r="BA144" s="23"/>
      <c r="BB144" s="23"/>
      <c r="BC144" s="23"/>
    </row>
    <row r="145" spans="29:55" x14ac:dyDescent="0.45">
      <c r="AC145" s="18"/>
      <c r="AD145" s="18"/>
      <c r="AE145" s="18"/>
      <c r="AF145" s="18"/>
      <c r="AG145" s="18"/>
      <c r="AQ145" s="19"/>
      <c r="AR145" s="24"/>
      <c r="AY145" s="25"/>
      <c r="AZ145" s="23"/>
      <c r="BA145" s="23"/>
      <c r="BB145" s="23"/>
      <c r="BC145" s="23"/>
    </row>
    <row r="146" spans="29:55" x14ac:dyDescent="0.45">
      <c r="AC146" s="18"/>
      <c r="AD146" s="18"/>
      <c r="AE146" s="18"/>
      <c r="AF146" s="18"/>
      <c r="AG146" s="18"/>
      <c r="AQ146" s="19"/>
      <c r="AR146" s="24"/>
      <c r="AY146" s="25"/>
      <c r="AZ146" s="23"/>
      <c r="BA146" s="23"/>
      <c r="BB146" s="23"/>
      <c r="BC146" s="23"/>
    </row>
    <row r="147" spans="29:55" x14ac:dyDescent="0.45">
      <c r="AC147" s="18"/>
      <c r="AD147" s="18"/>
      <c r="AE147" s="18"/>
      <c r="AF147" s="18"/>
      <c r="AG147" s="18"/>
      <c r="AQ147" s="19"/>
      <c r="AR147" s="24"/>
      <c r="AY147" s="25"/>
      <c r="AZ147" s="23"/>
      <c r="BA147" s="23"/>
      <c r="BB147" s="23"/>
      <c r="BC147" s="23"/>
    </row>
    <row r="148" spans="29:55" x14ac:dyDescent="0.45">
      <c r="AC148" s="18"/>
      <c r="AD148" s="18"/>
      <c r="AE148" s="18"/>
      <c r="AF148" s="18"/>
      <c r="AG148" s="18"/>
      <c r="AQ148" s="19"/>
      <c r="AR148" s="24"/>
      <c r="AY148" s="25"/>
      <c r="AZ148" s="23"/>
      <c r="BA148" s="23"/>
      <c r="BB148" s="23"/>
      <c r="BC148" s="23"/>
    </row>
    <row r="149" spans="29:55" x14ac:dyDescent="0.45">
      <c r="AC149" s="18"/>
      <c r="AD149" s="18"/>
      <c r="AE149" s="18"/>
      <c r="AF149" s="18"/>
      <c r="AG149" s="18"/>
      <c r="AQ149" s="19"/>
      <c r="AR149" s="24"/>
      <c r="AY149" s="25"/>
      <c r="AZ149" s="23"/>
      <c r="BA149" s="23"/>
      <c r="BB149" s="23"/>
      <c r="BC149" s="23"/>
    </row>
    <row r="150" spans="29:55" x14ac:dyDescent="0.45">
      <c r="AC150" s="18"/>
      <c r="AD150" s="18"/>
      <c r="AE150" s="18"/>
      <c r="AF150" s="18"/>
      <c r="AG150" s="18"/>
      <c r="AQ150" s="19"/>
      <c r="AR150" s="24"/>
      <c r="AY150" s="25"/>
      <c r="AZ150" s="23"/>
      <c r="BA150" s="23"/>
      <c r="BB150" s="23"/>
      <c r="BC150" s="23"/>
    </row>
    <row r="151" spans="29:55" x14ac:dyDescent="0.45">
      <c r="AC151" s="18"/>
      <c r="AD151" s="18"/>
      <c r="AE151" s="18"/>
      <c r="AF151" s="18"/>
      <c r="AG151" s="18"/>
      <c r="AQ151" s="19"/>
      <c r="AR151" s="24"/>
      <c r="AY151" s="25"/>
      <c r="AZ151" s="23"/>
      <c r="BA151" s="23"/>
      <c r="BB151" s="23"/>
      <c r="BC151" s="23"/>
    </row>
    <row r="152" spans="29:55" x14ac:dyDescent="0.45">
      <c r="AC152" s="18"/>
      <c r="AD152" s="18"/>
      <c r="AE152" s="18"/>
      <c r="AF152" s="18"/>
      <c r="AG152" s="18"/>
      <c r="AQ152" s="19"/>
      <c r="AR152" s="24"/>
      <c r="AY152" s="25"/>
      <c r="AZ152" s="23"/>
      <c r="BA152" s="23"/>
      <c r="BB152" s="23"/>
      <c r="BC152" s="23"/>
    </row>
    <row r="153" spans="29:55" x14ac:dyDescent="0.45">
      <c r="AC153" s="18"/>
      <c r="AD153" s="18"/>
      <c r="AE153" s="18"/>
      <c r="AF153" s="18"/>
      <c r="AG153" s="18"/>
      <c r="AQ153" s="19"/>
      <c r="AR153" s="24"/>
      <c r="AY153" s="25"/>
      <c r="AZ153" s="23"/>
      <c r="BA153" s="23"/>
      <c r="BB153" s="23"/>
      <c r="BC153" s="23"/>
    </row>
    <row r="154" spans="29:55" x14ac:dyDescent="0.45">
      <c r="AC154" s="18"/>
      <c r="AD154" s="18"/>
      <c r="AE154" s="18"/>
      <c r="AF154" s="18"/>
      <c r="AG154" s="18"/>
      <c r="AQ154" s="19"/>
      <c r="AR154" s="24"/>
      <c r="AY154" s="25"/>
      <c r="AZ154" s="23"/>
      <c r="BA154" s="23"/>
      <c r="BB154" s="23"/>
      <c r="BC154" s="23"/>
    </row>
    <row r="155" spans="29:55" x14ac:dyDescent="0.45">
      <c r="AC155" s="18"/>
      <c r="AD155" s="18"/>
      <c r="AE155" s="18"/>
      <c r="AF155" s="18"/>
      <c r="AG155" s="18"/>
      <c r="AQ155" s="19"/>
      <c r="AR155" s="24"/>
      <c r="AY155" s="25"/>
      <c r="AZ155" s="23"/>
      <c r="BA155" s="23"/>
      <c r="BB155" s="23"/>
      <c r="BC155" s="23"/>
    </row>
    <row r="156" spans="29:55" x14ac:dyDescent="0.45">
      <c r="AC156" s="18"/>
      <c r="AD156" s="18"/>
      <c r="AE156" s="18"/>
      <c r="AF156" s="18"/>
      <c r="AG156" s="18"/>
      <c r="AQ156" s="19"/>
      <c r="AR156" s="24"/>
      <c r="AY156" s="25"/>
      <c r="AZ156" s="23"/>
      <c r="BA156" s="23"/>
      <c r="BB156" s="23"/>
      <c r="BC156" s="23"/>
    </row>
    <row r="157" spans="29:55" x14ac:dyDescent="0.45">
      <c r="AC157" s="18"/>
      <c r="AD157" s="18"/>
      <c r="AE157" s="18"/>
      <c r="AF157" s="18"/>
      <c r="AG157" s="18"/>
      <c r="AQ157" s="19"/>
      <c r="AR157" s="24"/>
      <c r="AY157" s="25"/>
      <c r="AZ157" s="23"/>
      <c r="BA157" s="23"/>
      <c r="BB157" s="23"/>
      <c r="BC157" s="23"/>
    </row>
    <row r="158" spans="29:55" x14ac:dyDescent="0.45">
      <c r="AC158" s="18"/>
      <c r="AD158" s="18"/>
      <c r="AE158" s="18"/>
      <c r="AF158" s="18"/>
      <c r="AG158" s="18"/>
      <c r="AQ158" s="19"/>
      <c r="AR158" s="24"/>
      <c r="AY158" s="25"/>
      <c r="AZ158" s="23"/>
      <c r="BA158" s="23"/>
      <c r="BB158" s="23"/>
      <c r="BC158" s="23"/>
    </row>
    <row r="159" spans="29:55" x14ac:dyDescent="0.45">
      <c r="AC159" s="18"/>
      <c r="AD159" s="18"/>
      <c r="AE159" s="18"/>
      <c r="AF159" s="18"/>
      <c r="AG159" s="18"/>
      <c r="AQ159" s="19"/>
      <c r="AR159" s="24"/>
      <c r="AY159" s="25"/>
      <c r="AZ159" s="23"/>
      <c r="BA159" s="23"/>
      <c r="BB159" s="23"/>
      <c r="BC159" s="23"/>
    </row>
    <row r="160" spans="29:55" x14ac:dyDescent="0.45">
      <c r="AC160" s="18"/>
      <c r="AD160" s="18"/>
      <c r="AE160" s="18"/>
      <c r="AF160" s="18"/>
      <c r="AG160" s="18"/>
      <c r="AQ160" s="19"/>
      <c r="AR160" s="24"/>
      <c r="AY160" s="25"/>
      <c r="AZ160" s="23"/>
      <c r="BA160" s="23"/>
      <c r="BB160" s="23"/>
      <c r="BC160" s="23"/>
    </row>
    <row r="161" spans="29:55" x14ac:dyDescent="0.45">
      <c r="AC161" s="18"/>
      <c r="AD161" s="18"/>
      <c r="AE161" s="18"/>
      <c r="AF161" s="18"/>
      <c r="AG161" s="18"/>
      <c r="AQ161" s="19"/>
      <c r="AR161" s="24"/>
      <c r="AY161" s="25"/>
      <c r="AZ161" s="23"/>
      <c r="BA161" s="23"/>
      <c r="BB161" s="23"/>
      <c r="BC161" s="23"/>
    </row>
    <row r="162" spans="29:55" x14ac:dyDescent="0.45">
      <c r="AC162" s="18"/>
      <c r="AD162" s="18"/>
      <c r="AE162" s="18"/>
      <c r="AF162" s="18"/>
      <c r="AG162" s="18"/>
      <c r="AQ162" s="19"/>
      <c r="AR162" s="24"/>
      <c r="AY162" s="25"/>
      <c r="AZ162" s="23"/>
      <c r="BA162" s="23"/>
      <c r="BB162" s="23"/>
      <c r="BC162" s="23"/>
    </row>
    <row r="163" spans="29:55" x14ac:dyDescent="0.45">
      <c r="AC163" s="18"/>
      <c r="AD163" s="18"/>
      <c r="AE163" s="18"/>
      <c r="AF163" s="18"/>
      <c r="AG163" s="18"/>
      <c r="AQ163" s="19"/>
      <c r="AR163" s="24"/>
      <c r="AY163" s="25"/>
      <c r="AZ163" s="23"/>
      <c r="BA163" s="23"/>
      <c r="BB163" s="23"/>
      <c r="BC163" s="23"/>
    </row>
    <row r="164" spans="29:55" x14ac:dyDescent="0.45">
      <c r="AC164" s="18"/>
      <c r="AD164" s="18"/>
      <c r="AE164" s="18"/>
      <c r="AF164" s="18"/>
      <c r="AG164" s="18"/>
      <c r="AQ164" s="19"/>
      <c r="AR164" s="24"/>
      <c r="AY164" s="25"/>
      <c r="AZ164" s="23"/>
      <c r="BA164" s="23"/>
      <c r="BB164" s="23"/>
      <c r="BC164" s="23"/>
    </row>
    <row r="165" spans="29:55" x14ac:dyDescent="0.45">
      <c r="AC165" s="18"/>
      <c r="AD165" s="18"/>
      <c r="AE165" s="18"/>
      <c r="AF165" s="18"/>
      <c r="AG165" s="18"/>
      <c r="AQ165" s="19"/>
      <c r="AR165" s="24"/>
      <c r="AY165" s="25"/>
      <c r="AZ165" s="23"/>
      <c r="BA165" s="23"/>
      <c r="BB165" s="23"/>
      <c r="BC165" s="23"/>
    </row>
    <row r="166" spans="29:55" x14ac:dyDescent="0.45">
      <c r="AC166" s="18"/>
      <c r="AD166" s="18"/>
      <c r="AE166" s="18"/>
      <c r="AF166" s="18"/>
      <c r="AG166" s="18"/>
      <c r="AQ166" s="19"/>
      <c r="AR166" s="24"/>
      <c r="AY166" s="25"/>
      <c r="AZ166" s="23"/>
      <c r="BA166" s="23"/>
      <c r="BB166" s="23"/>
      <c r="BC166" s="23"/>
    </row>
    <row r="167" spans="29:55" x14ac:dyDescent="0.45">
      <c r="AC167" s="18"/>
      <c r="AD167" s="18"/>
      <c r="AE167" s="18"/>
      <c r="AF167" s="18"/>
      <c r="AG167" s="18"/>
      <c r="AQ167" s="19"/>
      <c r="AR167" s="24"/>
      <c r="AY167" s="25"/>
      <c r="AZ167" s="23"/>
      <c r="BA167" s="23"/>
      <c r="BB167" s="23"/>
      <c r="BC167" s="23"/>
    </row>
    <row r="168" spans="29:55" x14ac:dyDescent="0.45">
      <c r="AC168" s="18"/>
      <c r="AD168" s="18"/>
      <c r="AE168" s="18"/>
      <c r="AF168" s="18"/>
      <c r="AG168" s="18"/>
      <c r="AQ168" s="19"/>
      <c r="AR168" s="24"/>
      <c r="AY168" s="25"/>
      <c r="AZ168" s="23"/>
      <c r="BA168" s="23"/>
      <c r="BB168" s="23"/>
      <c r="BC168" s="23"/>
    </row>
    <row r="169" spans="29:55" x14ac:dyDescent="0.45">
      <c r="AC169" s="18"/>
      <c r="AD169" s="18"/>
      <c r="AE169" s="18"/>
      <c r="AF169" s="18"/>
      <c r="AG169" s="18"/>
      <c r="AQ169" s="19"/>
      <c r="AR169" s="24"/>
      <c r="AY169" s="25"/>
      <c r="AZ169" s="23"/>
      <c r="BA169" s="23"/>
      <c r="BB169" s="23"/>
      <c r="BC169" s="23"/>
    </row>
    <row r="170" spans="29:55" x14ac:dyDescent="0.45">
      <c r="AC170" s="18"/>
      <c r="AD170" s="18"/>
      <c r="AE170" s="18"/>
      <c r="AF170" s="18"/>
      <c r="AG170" s="18"/>
      <c r="AQ170" s="19"/>
      <c r="AR170" s="24"/>
      <c r="AY170" s="25"/>
      <c r="AZ170" s="23"/>
      <c r="BA170" s="23"/>
      <c r="BB170" s="23"/>
      <c r="BC170" s="23"/>
    </row>
    <row r="171" spans="29:55" x14ac:dyDescent="0.45">
      <c r="AC171" s="18"/>
      <c r="AD171" s="18"/>
      <c r="AE171" s="18"/>
      <c r="AF171" s="18"/>
      <c r="AG171" s="18"/>
      <c r="AQ171" s="19"/>
      <c r="AR171" s="24"/>
      <c r="AY171" s="25"/>
      <c r="AZ171" s="23"/>
      <c r="BA171" s="23"/>
      <c r="BB171" s="23"/>
      <c r="BC171" s="23"/>
    </row>
    <row r="172" spans="29:55" x14ac:dyDescent="0.45">
      <c r="AC172" s="18"/>
      <c r="AD172" s="18"/>
      <c r="AE172" s="18"/>
      <c r="AF172" s="18"/>
      <c r="AG172" s="18"/>
      <c r="AQ172" s="19"/>
      <c r="AR172" s="24"/>
      <c r="AY172" s="25"/>
      <c r="AZ172" s="23"/>
      <c r="BA172" s="23"/>
      <c r="BB172" s="23"/>
      <c r="BC172" s="23"/>
    </row>
    <row r="173" spans="29:55" x14ac:dyDescent="0.45">
      <c r="AC173" s="18"/>
      <c r="AD173" s="18"/>
      <c r="AE173" s="18"/>
      <c r="AF173" s="18"/>
      <c r="AG173" s="18"/>
      <c r="AQ173" s="19"/>
      <c r="AR173" s="24"/>
      <c r="AY173" s="25"/>
      <c r="AZ173" s="23"/>
      <c r="BA173" s="23"/>
      <c r="BB173" s="23"/>
      <c r="BC173" s="23"/>
    </row>
    <row r="174" spans="29:55" x14ac:dyDescent="0.45">
      <c r="AC174" s="18"/>
      <c r="AD174" s="18"/>
      <c r="AE174" s="18"/>
      <c r="AF174" s="18"/>
      <c r="AG174" s="18"/>
      <c r="AQ174" s="19"/>
      <c r="AR174" s="24"/>
      <c r="AY174" s="25"/>
      <c r="AZ174" s="23"/>
      <c r="BA174" s="23"/>
      <c r="BB174" s="23"/>
      <c r="BC174" s="23"/>
    </row>
    <row r="175" spans="29:55" x14ac:dyDescent="0.45">
      <c r="AC175" s="18"/>
      <c r="AD175" s="18"/>
      <c r="AE175" s="18"/>
      <c r="AF175" s="18"/>
      <c r="AG175" s="18"/>
      <c r="AQ175" s="19"/>
      <c r="AR175" s="24"/>
      <c r="AY175" s="25"/>
      <c r="AZ175" s="23"/>
      <c r="BA175" s="23"/>
      <c r="BB175" s="23"/>
      <c r="BC175" s="23"/>
    </row>
    <row r="176" spans="29:55" x14ac:dyDescent="0.45">
      <c r="AC176" s="18"/>
      <c r="AD176" s="18"/>
      <c r="AE176" s="18"/>
      <c r="AF176" s="18"/>
      <c r="AG176" s="18"/>
      <c r="AQ176" s="19"/>
      <c r="AR176" s="24"/>
      <c r="AY176" s="25"/>
      <c r="AZ176" s="23"/>
      <c r="BA176" s="23"/>
      <c r="BB176" s="23"/>
      <c r="BC176" s="23"/>
    </row>
    <row r="177" spans="29:55" x14ac:dyDescent="0.45">
      <c r="AC177" s="18"/>
      <c r="AD177" s="18"/>
      <c r="AE177" s="18"/>
      <c r="AF177" s="18"/>
      <c r="AG177" s="18"/>
      <c r="AQ177" s="19"/>
      <c r="AR177" s="24"/>
      <c r="AY177" s="25"/>
      <c r="AZ177" s="23"/>
      <c r="BA177" s="23"/>
      <c r="BB177" s="23"/>
      <c r="BC177" s="23"/>
    </row>
    <row r="178" spans="29:55" x14ac:dyDescent="0.45">
      <c r="AC178" s="18"/>
      <c r="AD178" s="18"/>
      <c r="AE178" s="18"/>
      <c r="AF178" s="18"/>
      <c r="AG178" s="18"/>
      <c r="AQ178" s="19"/>
      <c r="AR178" s="24"/>
      <c r="AY178" s="25"/>
      <c r="AZ178" s="23"/>
      <c r="BA178" s="23"/>
      <c r="BB178" s="23"/>
      <c r="BC178" s="23"/>
    </row>
    <row r="179" spans="29:55" x14ac:dyDescent="0.45">
      <c r="AC179" s="18"/>
      <c r="AD179" s="18"/>
      <c r="AE179" s="18"/>
      <c r="AF179" s="18"/>
      <c r="AG179" s="18"/>
      <c r="AQ179" s="19"/>
      <c r="AR179" s="24"/>
      <c r="AY179" s="25"/>
      <c r="AZ179" s="23"/>
      <c r="BA179" s="23"/>
      <c r="BB179" s="23"/>
      <c r="BC179" s="23"/>
    </row>
    <row r="180" spans="29:55" x14ac:dyDescent="0.45">
      <c r="AC180" s="18"/>
      <c r="AD180" s="18"/>
      <c r="AE180" s="18"/>
      <c r="AF180" s="18"/>
      <c r="AG180" s="18"/>
      <c r="AQ180" s="19"/>
      <c r="AR180" s="24"/>
      <c r="AY180" s="25"/>
      <c r="AZ180" s="23"/>
      <c r="BA180" s="23"/>
      <c r="BB180" s="23"/>
      <c r="BC180" s="23"/>
    </row>
    <row r="181" spans="29:55" x14ac:dyDescent="0.45">
      <c r="AC181" s="18"/>
      <c r="AD181" s="18"/>
      <c r="AE181" s="18"/>
      <c r="AF181" s="18"/>
      <c r="AG181" s="18"/>
      <c r="AQ181" s="19"/>
      <c r="AR181" s="24"/>
      <c r="AY181" s="25"/>
      <c r="AZ181" s="23"/>
      <c r="BA181" s="23"/>
      <c r="BB181" s="23"/>
      <c r="BC181" s="23"/>
    </row>
    <row r="182" spans="29:55" x14ac:dyDescent="0.45">
      <c r="AC182" s="18"/>
      <c r="AD182" s="18"/>
      <c r="AE182" s="18"/>
      <c r="AF182" s="18"/>
      <c r="AG182" s="18"/>
      <c r="AQ182" s="19"/>
      <c r="AR182" s="24"/>
      <c r="AY182" s="25"/>
      <c r="AZ182" s="23"/>
      <c r="BA182" s="23"/>
      <c r="BB182" s="23"/>
      <c r="BC182" s="23"/>
    </row>
    <row r="183" spans="29:55" x14ac:dyDescent="0.45">
      <c r="AC183" s="18"/>
      <c r="AD183" s="18"/>
      <c r="AE183" s="18"/>
      <c r="AF183" s="18"/>
      <c r="AG183" s="18"/>
      <c r="AQ183" s="19"/>
      <c r="AR183" s="24"/>
      <c r="AY183" s="25"/>
      <c r="AZ183" s="23"/>
      <c r="BA183" s="23"/>
      <c r="BB183" s="23"/>
      <c r="BC183" s="23"/>
    </row>
    <row r="184" spans="29:55" x14ac:dyDescent="0.45">
      <c r="AC184" s="18"/>
      <c r="AD184" s="18"/>
      <c r="AE184" s="18"/>
      <c r="AF184" s="18"/>
      <c r="AG184" s="18"/>
      <c r="AQ184" s="19"/>
      <c r="AR184" s="24"/>
      <c r="AY184" s="25"/>
      <c r="AZ184" s="23"/>
      <c r="BA184" s="23"/>
      <c r="BB184" s="23"/>
      <c r="BC184" s="23"/>
    </row>
    <row r="185" spans="29:55" x14ac:dyDescent="0.45">
      <c r="AC185" s="18"/>
      <c r="AD185" s="18"/>
      <c r="AE185" s="18"/>
      <c r="AF185" s="18"/>
      <c r="AG185" s="18"/>
      <c r="AQ185" s="19"/>
      <c r="AR185" s="24"/>
      <c r="AY185" s="25"/>
      <c r="AZ185" s="23"/>
      <c r="BA185" s="23"/>
      <c r="BB185" s="23"/>
      <c r="BC185" s="23"/>
    </row>
    <row r="186" spans="29:55" x14ac:dyDescent="0.45">
      <c r="AC186" s="18"/>
      <c r="AD186" s="18"/>
      <c r="AE186" s="18"/>
      <c r="AF186" s="18"/>
      <c r="AG186" s="18"/>
      <c r="AQ186" s="19"/>
      <c r="AR186" s="24"/>
      <c r="AY186" s="25"/>
      <c r="AZ186" s="23"/>
      <c r="BA186" s="23"/>
      <c r="BB186" s="23"/>
      <c r="BC186" s="23"/>
    </row>
    <row r="187" spans="29:55" x14ac:dyDescent="0.45">
      <c r="AC187" s="18"/>
      <c r="AD187" s="18"/>
      <c r="AE187" s="18"/>
      <c r="AF187" s="18"/>
      <c r="AG187" s="18"/>
      <c r="AQ187" s="19"/>
      <c r="AR187" s="24"/>
      <c r="AY187" s="25"/>
      <c r="AZ187" s="23"/>
      <c r="BA187" s="23"/>
      <c r="BB187" s="23"/>
      <c r="BC187" s="23"/>
    </row>
    <row r="188" spans="29:55" x14ac:dyDescent="0.45">
      <c r="AC188" s="18"/>
      <c r="AD188" s="18"/>
      <c r="AE188" s="18"/>
      <c r="AF188" s="18"/>
      <c r="AG188" s="18"/>
      <c r="AQ188" s="19"/>
      <c r="AR188" s="24"/>
      <c r="AY188" s="25"/>
      <c r="AZ188" s="23"/>
      <c r="BA188" s="23"/>
      <c r="BB188" s="23"/>
      <c r="BC188" s="23"/>
    </row>
    <row r="189" spans="29:55" x14ac:dyDescent="0.45">
      <c r="AC189" s="18"/>
      <c r="AD189" s="18"/>
      <c r="AE189" s="18"/>
      <c r="AF189" s="18"/>
      <c r="AG189" s="18"/>
      <c r="AQ189" s="19"/>
      <c r="AR189" s="24"/>
      <c r="AY189" s="25"/>
      <c r="AZ189" s="23"/>
      <c r="BA189" s="23"/>
      <c r="BB189" s="23"/>
      <c r="BC189" s="23"/>
    </row>
    <row r="190" spans="29:55" x14ac:dyDescent="0.45">
      <c r="AC190" s="18"/>
      <c r="AD190" s="18"/>
      <c r="AE190" s="18"/>
      <c r="AF190" s="18"/>
      <c r="AG190" s="18"/>
      <c r="AQ190" s="19"/>
      <c r="AR190" s="24"/>
      <c r="AY190" s="25"/>
      <c r="AZ190" s="23"/>
      <c r="BA190" s="23"/>
      <c r="BB190" s="23"/>
      <c r="BC190" s="23"/>
    </row>
    <row r="191" spans="29:55" x14ac:dyDescent="0.45">
      <c r="AC191" s="18"/>
      <c r="AD191" s="18"/>
      <c r="AE191" s="18"/>
      <c r="AF191" s="18"/>
      <c r="AG191" s="18"/>
      <c r="AQ191" s="19"/>
      <c r="AR191" s="24"/>
      <c r="AY191" s="25"/>
      <c r="AZ191" s="23"/>
      <c r="BA191" s="23"/>
      <c r="BB191" s="23"/>
      <c r="BC191" s="23"/>
    </row>
    <row r="192" spans="29:55" x14ac:dyDescent="0.45">
      <c r="AC192" s="18"/>
      <c r="AD192" s="18"/>
      <c r="AE192" s="18"/>
      <c r="AF192" s="18"/>
      <c r="AG192" s="18"/>
      <c r="AQ192" s="19"/>
      <c r="AR192" s="24"/>
      <c r="AY192" s="25"/>
      <c r="AZ192" s="23"/>
      <c r="BA192" s="23"/>
      <c r="BB192" s="23"/>
      <c r="BC192" s="23"/>
    </row>
    <row r="193" spans="29:55" x14ac:dyDescent="0.45">
      <c r="AC193" s="18"/>
      <c r="AD193" s="18"/>
      <c r="AE193" s="18"/>
      <c r="AF193" s="18"/>
      <c r="AG193" s="18"/>
      <c r="AQ193" s="19"/>
      <c r="AR193" s="24"/>
      <c r="AY193" s="25"/>
      <c r="AZ193" s="23"/>
      <c r="BA193" s="23"/>
      <c r="BB193" s="23"/>
      <c r="BC193" s="23"/>
    </row>
    <row r="194" spans="29:55" x14ac:dyDescent="0.45">
      <c r="AC194" s="18"/>
      <c r="AD194" s="18"/>
      <c r="AE194" s="18"/>
      <c r="AF194" s="18"/>
      <c r="AG194" s="18"/>
      <c r="AQ194" s="19"/>
      <c r="AR194" s="24"/>
      <c r="AY194" s="25"/>
      <c r="AZ194" s="23"/>
      <c r="BA194" s="23"/>
      <c r="BB194" s="23"/>
      <c r="BC194" s="23"/>
    </row>
    <row r="195" spans="29:55" x14ac:dyDescent="0.45">
      <c r="AC195" s="18"/>
      <c r="AD195" s="18"/>
      <c r="AE195" s="18"/>
      <c r="AF195" s="18"/>
      <c r="AG195" s="18"/>
      <c r="AQ195" s="19"/>
      <c r="AR195" s="24"/>
      <c r="AY195" s="25"/>
      <c r="AZ195" s="23"/>
      <c r="BA195" s="23"/>
      <c r="BB195" s="23"/>
      <c r="BC195" s="23"/>
    </row>
    <row r="196" spans="29:55" x14ac:dyDescent="0.45">
      <c r="AC196" s="18"/>
      <c r="AD196" s="18"/>
      <c r="AE196" s="18"/>
      <c r="AF196" s="18"/>
      <c r="AG196" s="18"/>
      <c r="AQ196" s="19"/>
      <c r="AR196" s="24"/>
      <c r="AY196" s="25"/>
      <c r="AZ196" s="23"/>
      <c r="BA196" s="23"/>
      <c r="BB196" s="23"/>
      <c r="BC196" s="23"/>
    </row>
    <row r="197" spans="29:55" x14ac:dyDescent="0.45">
      <c r="AC197" s="18"/>
      <c r="AD197" s="18"/>
      <c r="AE197" s="18"/>
      <c r="AF197" s="18"/>
      <c r="AG197" s="18"/>
      <c r="AQ197" s="19"/>
      <c r="AR197" s="24"/>
      <c r="AY197" s="25"/>
      <c r="AZ197" s="23"/>
      <c r="BA197" s="23"/>
      <c r="BB197" s="23"/>
      <c r="BC197" s="23"/>
    </row>
    <row r="198" spans="29:55" x14ac:dyDescent="0.45">
      <c r="AC198" s="18"/>
      <c r="AD198" s="18"/>
      <c r="AE198" s="18"/>
      <c r="AF198" s="18"/>
      <c r="AG198" s="18"/>
      <c r="AQ198" s="19"/>
      <c r="AR198" s="24"/>
      <c r="AY198" s="25"/>
      <c r="AZ198" s="23"/>
      <c r="BA198" s="23"/>
      <c r="BB198" s="23"/>
      <c r="BC198" s="23"/>
    </row>
    <row r="199" spans="29:55" x14ac:dyDescent="0.45">
      <c r="AC199" s="18"/>
      <c r="AD199" s="18"/>
      <c r="AE199" s="18"/>
      <c r="AF199" s="18"/>
      <c r="AG199" s="18"/>
      <c r="AQ199" s="19"/>
      <c r="AR199" s="24"/>
      <c r="AY199" s="25"/>
      <c r="AZ199" s="23"/>
      <c r="BA199" s="23"/>
      <c r="BB199" s="23"/>
      <c r="BC199" s="23"/>
    </row>
    <row r="200" spans="29:55" x14ac:dyDescent="0.45">
      <c r="AC200" s="18"/>
      <c r="AD200" s="18"/>
      <c r="AE200" s="18"/>
      <c r="AF200" s="18"/>
      <c r="AG200" s="18"/>
      <c r="AQ200" s="19"/>
      <c r="AR200" s="24"/>
      <c r="AY200" s="25"/>
      <c r="AZ200" s="23"/>
      <c r="BA200" s="23"/>
      <c r="BB200" s="23"/>
      <c r="BC200" s="23"/>
    </row>
    <row r="201" spans="29:55" x14ac:dyDescent="0.45">
      <c r="AC201" s="18"/>
      <c r="AD201" s="18"/>
      <c r="AE201" s="18"/>
      <c r="AF201" s="18"/>
      <c r="AG201" s="18"/>
      <c r="AQ201" s="19"/>
      <c r="AR201" s="24"/>
      <c r="AY201" s="25"/>
      <c r="AZ201" s="23"/>
      <c r="BA201" s="23"/>
      <c r="BB201" s="23"/>
      <c r="BC201" s="23"/>
    </row>
    <row r="202" spans="29:55" x14ac:dyDescent="0.45">
      <c r="AC202" s="18"/>
      <c r="AD202" s="18"/>
      <c r="AE202" s="18"/>
      <c r="AF202" s="18"/>
      <c r="AG202" s="18"/>
      <c r="AQ202" s="19"/>
      <c r="AR202" s="24"/>
      <c r="AY202" s="25"/>
      <c r="AZ202" s="23"/>
      <c r="BA202" s="23"/>
      <c r="BB202" s="23"/>
      <c r="BC202" s="23"/>
    </row>
    <row r="203" spans="29:55" x14ac:dyDescent="0.45">
      <c r="AC203" s="18"/>
      <c r="AD203" s="18"/>
      <c r="AE203" s="18"/>
      <c r="AF203" s="18"/>
      <c r="AG203" s="18"/>
      <c r="AQ203" s="19"/>
      <c r="AR203" s="24"/>
      <c r="AY203" s="25"/>
      <c r="AZ203" s="23"/>
      <c r="BA203" s="23"/>
      <c r="BB203" s="23"/>
      <c r="BC203" s="23"/>
    </row>
    <row r="204" spans="29:55" x14ac:dyDescent="0.45">
      <c r="AC204" s="18"/>
      <c r="AD204" s="18"/>
      <c r="AE204" s="18"/>
      <c r="AF204" s="18"/>
      <c r="AG204" s="18"/>
      <c r="AQ204" s="19"/>
      <c r="AR204" s="24"/>
      <c r="AY204" s="25"/>
      <c r="AZ204" s="23"/>
      <c r="BA204" s="23"/>
      <c r="BB204" s="23"/>
      <c r="BC204" s="23"/>
    </row>
    <row r="205" spans="29:55" x14ac:dyDescent="0.45">
      <c r="AC205" s="18"/>
      <c r="AD205" s="18"/>
      <c r="AE205" s="18"/>
      <c r="AF205" s="18"/>
      <c r="AG205" s="18"/>
      <c r="AQ205" s="19"/>
      <c r="AR205" s="24"/>
      <c r="AY205" s="25"/>
      <c r="AZ205" s="23"/>
      <c r="BA205" s="23"/>
      <c r="BB205" s="23"/>
      <c r="BC205" s="23"/>
    </row>
    <row r="206" spans="29:55" x14ac:dyDescent="0.45">
      <c r="AC206" s="18"/>
      <c r="AD206" s="18"/>
      <c r="AE206" s="18"/>
      <c r="AF206" s="18"/>
      <c r="AG206" s="18"/>
      <c r="AQ206" s="19"/>
      <c r="AR206" s="24"/>
      <c r="AY206" s="25"/>
      <c r="AZ206" s="23"/>
      <c r="BA206" s="23"/>
      <c r="BB206" s="23"/>
      <c r="BC206" s="23"/>
    </row>
    <row r="207" spans="29:55" x14ac:dyDescent="0.45">
      <c r="AC207" s="18"/>
      <c r="AD207" s="18"/>
      <c r="AE207" s="18"/>
      <c r="AF207" s="18"/>
      <c r="AG207" s="18"/>
      <c r="AQ207" s="19"/>
      <c r="AR207" s="24"/>
      <c r="AY207" s="25"/>
      <c r="AZ207" s="23"/>
      <c r="BA207" s="23"/>
      <c r="BB207" s="23"/>
      <c r="BC207" s="23"/>
    </row>
    <row r="208" spans="29:55" x14ac:dyDescent="0.45">
      <c r="AC208" s="18"/>
      <c r="AD208" s="18"/>
      <c r="AE208" s="18"/>
      <c r="AF208" s="18"/>
      <c r="AG208" s="18"/>
      <c r="AQ208" s="19"/>
      <c r="AR208" s="24"/>
      <c r="AY208" s="25"/>
      <c r="AZ208" s="23"/>
      <c r="BA208" s="23"/>
      <c r="BB208" s="23"/>
      <c r="BC208" s="23"/>
    </row>
    <row r="209" spans="29:55" x14ac:dyDescent="0.45">
      <c r="AC209" s="18"/>
      <c r="AD209" s="18"/>
      <c r="AE209" s="18"/>
      <c r="AF209" s="18"/>
      <c r="AG209" s="18"/>
      <c r="AQ209" s="19"/>
      <c r="AR209" s="24"/>
      <c r="AY209" s="25"/>
      <c r="AZ209" s="23"/>
      <c r="BA209" s="23"/>
      <c r="BB209" s="23"/>
      <c r="BC209" s="23"/>
    </row>
    <row r="210" spans="29:55" x14ac:dyDescent="0.45">
      <c r="AC210" s="18"/>
      <c r="AD210" s="18"/>
      <c r="AE210" s="18"/>
      <c r="AF210" s="18"/>
      <c r="AG210" s="18"/>
      <c r="AQ210" s="19"/>
      <c r="AR210" s="24"/>
      <c r="AY210" s="25"/>
      <c r="AZ210" s="23"/>
      <c r="BA210" s="23"/>
      <c r="BB210" s="23"/>
      <c r="BC210" s="23"/>
    </row>
    <row r="211" spans="29:55" x14ac:dyDescent="0.45">
      <c r="AC211" s="18"/>
      <c r="AD211" s="18"/>
      <c r="AE211" s="18"/>
      <c r="AF211" s="18"/>
      <c r="AG211" s="18"/>
      <c r="AQ211" s="19"/>
      <c r="AR211" s="24"/>
      <c r="AY211" s="25"/>
      <c r="AZ211" s="23"/>
      <c r="BA211" s="23"/>
      <c r="BB211" s="23"/>
      <c r="BC211" s="23"/>
    </row>
    <row r="212" spans="29:55" x14ac:dyDescent="0.45">
      <c r="AC212" s="18"/>
      <c r="AD212" s="18"/>
      <c r="AE212" s="18"/>
      <c r="AF212" s="18"/>
      <c r="AG212" s="18"/>
      <c r="AQ212" s="19"/>
      <c r="AR212" s="24"/>
      <c r="AY212" s="25"/>
      <c r="AZ212" s="23"/>
      <c r="BA212" s="23"/>
      <c r="BB212" s="23"/>
      <c r="BC212" s="23"/>
    </row>
    <row r="213" spans="29:55" x14ac:dyDescent="0.45">
      <c r="AC213" s="18"/>
      <c r="AD213" s="18"/>
      <c r="AE213" s="18"/>
      <c r="AF213" s="18"/>
      <c r="AG213" s="18"/>
      <c r="AQ213" s="19"/>
      <c r="AR213" s="24"/>
      <c r="AY213" s="25"/>
      <c r="AZ213" s="23"/>
      <c r="BA213" s="23"/>
      <c r="BB213" s="23"/>
      <c r="BC213" s="23"/>
    </row>
    <row r="214" spans="29:55" x14ac:dyDescent="0.45">
      <c r="AC214" s="18"/>
      <c r="AD214" s="18"/>
      <c r="AE214" s="18"/>
      <c r="AF214" s="18"/>
      <c r="AG214" s="18"/>
      <c r="AQ214" s="19"/>
      <c r="AR214" s="24"/>
      <c r="AY214" s="25"/>
      <c r="AZ214" s="23"/>
      <c r="BA214" s="23"/>
      <c r="BB214" s="23"/>
      <c r="BC214" s="23"/>
    </row>
    <row r="215" spans="29:55" x14ac:dyDescent="0.45">
      <c r="AC215" s="18"/>
      <c r="AD215" s="18"/>
      <c r="AE215" s="18"/>
      <c r="AF215" s="18"/>
      <c r="AG215" s="18"/>
      <c r="AQ215" s="19"/>
      <c r="AR215" s="24"/>
      <c r="AY215" s="25"/>
      <c r="AZ215" s="23"/>
      <c r="BA215" s="23"/>
      <c r="BB215" s="23"/>
      <c r="BC215" s="23"/>
    </row>
    <row r="216" spans="29:55" x14ac:dyDescent="0.45">
      <c r="AC216" s="18"/>
      <c r="AD216" s="18"/>
      <c r="AE216" s="18"/>
      <c r="AF216" s="18"/>
      <c r="AG216" s="18"/>
      <c r="AQ216" s="19"/>
      <c r="AR216" s="24"/>
      <c r="AY216" s="25"/>
      <c r="AZ216" s="23"/>
      <c r="BA216" s="23"/>
      <c r="BB216" s="23"/>
      <c r="BC216" s="23"/>
    </row>
    <row r="217" spans="29:55" x14ac:dyDescent="0.45">
      <c r="AC217" s="18"/>
      <c r="AD217" s="18"/>
      <c r="AE217" s="18"/>
      <c r="AF217" s="18"/>
      <c r="AG217" s="18"/>
      <c r="AQ217" s="19"/>
      <c r="AR217" s="24"/>
      <c r="AY217" s="25"/>
      <c r="AZ217" s="23"/>
      <c r="BA217" s="23"/>
      <c r="BB217" s="23"/>
      <c r="BC217" s="23"/>
    </row>
    <row r="218" spans="29:55" x14ac:dyDescent="0.45">
      <c r="AC218" s="18"/>
      <c r="AD218" s="18"/>
      <c r="AE218" s="18"/>
      <c r="AF218" s="18"/>
      <c r="AG218" s="18"/>
      <c r="AQ218" s="19"/>
      <c r="AR218" s="24"/>
      <c r="AY218" s="25"/>
      <c r="AZ218" s="23"/>
      <c r="BA218" s="23"/>
      <c r="BB218" s="23"/>
      <c r="BC218" s="23"/>
    </row>
    <row r="219" spans="29:55" x14ac:dyDescent="0.45">
      <c r="AC219" s="18"/>
      <c r="AD219" s="18"/>
      <c r="AE219" s="18"/>
      <c r="AF219" s="18"/>
      <c r="AG219" s="18"/>
      <c r="AQ219" s="19"/>
      <c r="AR219" s="24"/>
      <c r="AY219" s="25"/>
      <c r="AZ219" s="23"/>
      <c r="BA219" s="23"/>
      <c r="BB219" s="23"/>
      <c r="BC219" s="23"/>
    </row>
    <row r="220" spans="29:55" x14ac:dyDescent="0.45">
      <c r="AC220" s="18"/>
      <c r="AD220" s="18"/>
      <c r="AE220" s="18"/>
      <c r="AF220" s="18"/>
      <c r="AG220" s="18"/>
      <c r="AQ220" s="19"/>
      <c r="AR220" s="24"/>
      <c r="AY220" s="25"/>
      <c r="AZ220" s="23"/>
      <c r="BA220" s="23"/>
      <c r="BB220" s="23"/>
      <c r="BC220" s="23"/>
    </row>
    <row r="221" spans="29:55" x14ac:dyDescent="0.45">
      <c r="AC221" s="18"/>
      <c r="AD221" s="18"/>
      <c r="AE221" s="18"/>
      <c r="AF221" s="18"/>
      <c r="AG221" s="18"/>
      <c r="AQ221" s="19"/>
      <c r="AR221" s="24"/>
      <c r="AY221" s="25"/>
      <c r="AZ221" s="23"/>
      <c r="BA221" s="23"/>
      <c r="BB221" s="23"/>
      <c r="BC221" s="23"/>
    </row>
    <row r="222" spans="29:55" x14ac:dyDescent="0.45">
      <c r="AC222" s="18"/>
      <c r="AD222" s="18"/>
      <c r="AE222" s="18"/>
      <c r="AF222" s="18"/>
      <c r="AG222" s="18"/>
      <c r="AQ222" s="19"/>
      <c r="AR222" s="24"/>
      <c r="AY222" s="25"/>
      <c r="AZ222" s="23"/>
      <c r="BA222" s="23"/>
      <c r="BB222" s="23"/>
      <c r="BC222" s="23"/>
    </row>
    <row r="223" spans="29:55" x14ac:dyDescent="0.45">
      <c r="AC223" s="18"/>
      <c r="AD223" s="18"/>
      <c r="AE223" s="18"/>
      <c r="AF223" s="18"/>
      <c r="AG223" s="18"/>
      <c r="AQ223" s="19"/>
      <c r="AR223" s="24"/>
      <c r="AY223" s="25"/>
      <c r="AZ223" s="23"/>
      <c r="BA223" s="23"/>
      <c r="BB223" s="23"/>
      <c r="BC223" s="23"/>
    </row>
    <row r="224" spans="29:55" x14ac:dyDescent="0.45">
      <c r="AC224" s="18"/>
      <c r="AD224" s="18"/>
      <c r="AE224" s="18"/>
      <c r="AF224" s="18"/>
      <c r="AG224" s="18"/>
      <c r="AQ224" s="19"/>
      <c r="AR224" s="24"/>
      <c r="AY224" s="25"/>
      <c r="AZ224" s="23"/>
      <c r="BA224" s="23"/>
      <c r="BB224" s="23"/>
      <c r="BC224" s="23"/>
    </row>
    <row r="225" spans="29:55" x14ac:dyDescent="0.45">
      <c r="AC225" s="18"/>
      <c r="AD225" s="18"/>
      <c r="AE225" s="18"/>
      <c r="AF225" s="18"/>
      <c r="AG225" s="18"/>
      <c r="AQ225" s="19"/>
      <c r="AR225" s="24"/>
      <c r="AY225" s="25"/>
      <c r="AZ225" s="23"/>
      <c r="BA225" s="23"/>
      <c r="BB225" s="23"/>
      <c r="BC225" s="23"/>
    </row>
    <row r="226" spans="29:55" x14ac:dyDescent="0.45">
      <c r="AC226" s="18"/>
      <c r="AD226" s="18"/>
      <c r="AE226" s="18"/>
      <c r="AF226" s="18"/>
      <c r="AG226" s="18"/>
      <c r="AQ226" s="19"/>
      <c r="AR226" s="24"/>
      <c r="AY226" s="25"/>
      <c r="AZ226" s="23"/>
      <c r="BA226" s="23"/>
      <c r="BB226" s="23"/>
      <c r="BC226" s="23"/>
    </row>
    <row r="227" spans="29:55" x14ac:dyDescent="0.45">
      <c r="AC227" s="18"/>
      <c r="AD227" s="18"/>
      <c r="AE227" s="18"/>
      <c r="AF227" s="18"/>
      <c r="AG227" s="18"/>
      <c r="AQ227" s="19"/>
      <c r="AR227" s="24"/>
      <c r="AY227" s="25"/>
      <c r="AZ227" s="23"/>
      <c r="BA227" s="23"/>
      <c r="BB227" s="23"/>
      <c r="BC227" s="23"/>
    </row>
    <row r="228" spans="29:55" x14ac:dyDescent="0.45">
      <c r="AC228" s="18"/>
      <c r="AD228" s="18"/>
      <c r="AE228" s="18"/>
      <c r="AF228" s="18"/>
      <c r="AG228" s="18"/>
      <c r="AQ228" s="19"/>
      <c r="AR228" s="24"/>
      <c r="AY228" s="25"/>
      <c r="AZ228" s="23"/>
      <c r="BA228" s="23"/>
      <c r="BB228" s="23"/>
      <c r="BC228" s="23"/>
    </row>
    <row r="229" spans="29:55" x14ac:dyDescent="0.45">
      <c r="AC229" s="18"/>
      <c r="AD229" s="18"/>
      <c r="AE229" s="18"/>
      <c r="AF229" s="18"/>
      <c r="AG229" s="18"/>
      <c r="AQ229" s="19"/>
      <c r="AR229" s="24"/>
      <c r="AY229" s="25"/>
      <c r="AZ229" s="23"/>
      <c r="BA229" s="23"/>
      <c r="BB229" s="23"/>
      <c r="BC229" s="23"/>
    </row>
    <row r="230" spans="29:55" x14ac:dyDescent="0.45">
      <c r="AC230" s="18"/>
      <c r="AD230" s="18"/>
      <c r="AE230" s="18"/>
      <c r="AF230" s="18"/>
      <c r="AG230" s="18"/>
      <c r="AQ230" s="19"/>
      <c r="AR230" s="24"/>
      <c r="AY230" s="25"/>
      <c r="AZ230" s="23"/>
      <c r="BA230" s="23"/>
      <c r="BB230" s="23"/>
      <c r="BC230" s="23"/>
    </row>
    <row r="231" spans="29:55" x14ac:dyDescent="0.45">
      <c r="AC231" s="18"/>
      <c r="AD231" s="18"/>
      <c r="AE231" s="18"/>
      <c r="AF231" s="18"/>
      <c r="AG231" s="18"/>
      <c r="AQ231" s="19"/>
      <c r="AR231" s="24"/>
      <c r="AY231" s="25"/>
      <c r="AZ231" s="23"/>
      <c r="BA231" s="23"/>
      <c r="BB231" s="23"/>
      <c r="BC231" s="23"/>
    </row>
    <row r="232" spans="29:55" x14ac:dyDescent="0.45">
      <c r="AC232" s="18"/>
      <c r="AD232" s="18"/>
      <c r="AE232" s="18"/>
      <c r="AF232" s="18"/>
      <c r="AG232" s="18"/>
      <c r="AQ232" s="19"/>
      <c r="AR232" s="24"/>
      <c r="AY232" s="25"/>
      <c r="AZ232" s="23"/>
      <c r="BA232" s="23"/>
      <c r="BB232" s="23"/>
      <c r="BC232" s="23"/>
    </row>
    <row r="233" spans="29:55" x14ac:dyDescent="0.45">
      <c r="AC233" s="18"/>
      <c r="AD233" s="18"/>
      <c r="AE233" s="18"/>
      <c r="AF233" s="18"/>
      <c r="AG233" s="18"/>
      <c r="AQ233" s="19"/>
      <c r="AR233" s="24"/>
      <c r="AY233" s="25"/>
      <c r="AZ233" s="23"/>
      <c r="BA233" s="23"/>
      <c r="BB233" s="23"/>
      <c r="BC233" s="23"/>
    </row>
    <row r="234" spans="29:55" x14ac:dyDescent="0.45">
      <c r="AC234" s="18"/>
      <c r="AD234" s="18"/>
      <c r="AE234" s="18"/>
      <c r="AF234" s="18"/>
      <c r="AG234" s="18"/>
      <c r="AQ234" s="19"/>
      <c r="AR234" s="24"/>
      <c r="AY234" s="25"/>
      <c r="AZ234" s="23"/>
      <c r="BA234" s="23"/>
      <c r="BB234" s="23"/>
      <c r="BC234" s="23"/>
    </row>
    <row r="235" spans="29:55" x14ac:dyDescent="0.45">
      <c r="AC235" s="18"/>
      <c r="AD235" s="18"/>
      <c r="AE235" s="18"/>
      <c r="AF235" s="18"/>
      <c r="AG235" s="18"/>
      <c r="AQ235" s="19"/>
      <c r="AR235" s="24"/>
      <c r="AY235" s="25"/>
      <c r="AZ235" s="23"/>
      <c r="BA235" s="23"/>
      <c r="BB235" s="23"/>
      <c r="BC235" s="23"/>
    </row>
    <row r="236" spans="29:55" x14ac:dyDescent="0.45">
      <c r="AC236" s="18"/>
      <c r="AD236" s="18"/>
      <c r="AE236" s="18"/>
      <c r="AF236" s="18"/>
      <c r="AG236" s="18"/>
      <c r="AQ236" s="19"/>
      <c r="AR236" s="24"/>
      <c r="AY236" s="25"/>
      <c r="AZ236" s="23"/>
      <c r="BA236" s="23"/>
      <c r="BB236" s="23"/>
      <c r="BC236" s="23"/>
    </row>
    <row r="237" spans="29:55" x14ac:dyDescent="0.45">
      <c r="AC237" s="18"/>
      <c r="AD237" s="18"/>
      <c r="AE237" s="18"/>
      <c r="AF237" s="18"/>
      <c r="AG237" s="18"/>
      <c r="AQ237" s="19"/>
      <c r="AR237" s="24"/>
      <c r="AY237" s="25"/>
      <c r="AZ237" s="23"/>
      <c r="BA237" s="23"/>
      <c r="BB237" s="23"/>
      <c r="BC237" s="23"/>
    </row>
    <row r="238" spans="29:55" x14ac:dyDescent="0.45">
      <c r="AC238" s="18"/>
      <c r="AD238" s="18"/>
      <c r="AE238" s="18"/>
      <c r="AF238" s="18"/>
      <c r="AG238" s="18"/>
      <c r="AQ238" s="19"/>
      <c r="AR238" s="24"/>
      <c r="AY238" s="25"/>
      <c r="AZ238" s="23"/>
      <c r="BA238" s="23"/>
      <c r="BB238" s="23"/>
      <c r="BC238" s="23"/>
    </row>
    <row r="239" spans="29:55" x14ac:dyDescent="0.45">
      <c r="AC239" s="18"/>
      <c r="AD239" s="18"/>
      <c r="AE239" s="18"/>
      <c r="AF239" s="18"/>
      <c r="AG239" s="18"/>
      <c r="AQ239" s="19"/>
      <c r="AR239" s="24"/>
      <c r="AY239" s="25"/>
      <c r="AZ239" s="23"/>
      <c r="BA239" s="23"/>
      <c r="BB239" s="23"/>
      <c r="BC239" s="23"/>
    </row>
    <row r="240" spans="29:55" x14ac:dyDescent="0.45">
      <c r="AC240" s="18"/>
      <c r="AD240" s="18"/>
      <c r="AE240" s="18"/>
      <c r="AF240" s="18"/>
      <c r="AG240" s="18"/>
      <c r="AQ240" s="19"/>
      <c r="AR240" s="24"/>
      <c r="AY240" s="25"/>
      <c r="AZ240" s="23"/>
      <c r="BA240" s="23"/>
      <c r="BB240" s="23"/>
      <c r="BC240" s="23"/>
    </row>
    <row r="241" spans="29:55" x14ac:dyDescent="0.45">
      <c r="AC241" s="18"/>
      <c r="AD241" s="18"/>
      <c r="AE241" s="18"/>
      <c r="AF241" s="18"/>
      <c r="AG241" s="18"/>
      <c r="AQ241" s="19"/>
      <c r="AR241" s="24"/>
      <c r="AY241" s="25"/>
      <c r="AZ241" s="23"/>
      <c r="BA241" s="23"/>
      <c r="BB241" s="23"/>
      <c r="BC241" s="23"/>
    </row>
    <row r="242" spans="29:55" x14ac:dyDescent="0.45">
      <c r="AC242" s="18"/>
      <c r="AD242" s="18"/>
      <c r="AE242" s="18"/>
      <c r="AF242" s="18"/>
      <c r="AG242" s="18"/>
      <c r="AQ242" s="19"/>
      <c r="AR242" s="24"/>
      <c r="AY242" s="25"/>
      <c r="AZ242" s="23"/>
      <c r="BA242" s="23"/>
      <c r="BB242" s="23"/>
      <c r="BC242" s="23"/>
    </row>
    <row r="243" spans="29:55" x14ac:dyDescent="0.45">
      <c r="AC243" s="18"/>
      <c r="AD243" s="18"/>
      <c r="AE243" s="18"/>
      <c r="AF243" s="18"/>
      <c r="AG243" s="18"/>
      <c r="AQ243" s="19"/>
      <c r="AR243" s="24"/>
      <c r="AY243" s="25"/>
      <c r="AZ243" s="23"/>
      <c r="BA243" s="23"/>
      <c r="BB243" s="23"/>
      <c r="BC243" s="23"/>
    </row>
    <row r="244" spans="29:55" x14ac:dyDescent="0.45">
      <c r="AC244" s="18"/>
      <c r="AD244" s="18"/>
      <c r="AE244" s="18"/>
      <c r="AF244" s="18"/>
      <c r="AG244" s="18"/>
      <c r="AQ244" s="19"/>
      <c r="AR244" s="24"/>
      <c r="AY244" s="25"/>
      <c r="AZ244" s="23"/>
      <c r="BA244" s="23"/>
      <c r="BB244" s="23"/>
      <c r="BC244" s="23"/>
    </row>
    <row r="245" spans="29:55" x14ac:dyDescent="0.45">
      <c r="AC245" s="18"/>
      <c r="AD245" s="18"/>
      <c r="AE245" s="18"/>
      <c r="AF245" s="18"/>
      <c r="AG245" s="18"/>
      <c r="AQ245" s="19"/>
      <c r="AR245" s="24"/>
      <c r="AY245" s="25"/>
      <c r="AZ245" s="23"/>
      <c r="BA245" s="23"/>
      <c r="BB245" s="23"/>
      <c r="BC245" s="23"/>
    </row>
    <row r="246" spans="29:55" x14ac:dyDescent="0.45">
      <c r="AC246" s="18"/>
      <c r="AD246" s="18"/>
      <c r="AE246" s="18"/>
      <c r="AF246" s="18"/>
      <c r="AG246" s="18"/>
      <c r="AQ246" s="19"/>
      <c r="AR246" s="33"/>
      <c r="AS246" s="34"/>
      <c r="AT246" s="34"/>
      <c r="AU246" s="34"/>
      <c r="AV246" s="34"/>
      <c r="AW246" s="34"/>
      <c r="AX246" s="34"/>
      <c r="AY246" s="35"/>
      <c r="AZ246" s="23"/>
      <c r="BA246" s="23"/>
      <c r="BB246" s="23"/>
      <c r="BC246" s="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7F3C-96AE-45A0-B115-9568B42FAE29}">
  <sheetPr codeName="Sheet12"/>
  <dimension ref="A1:J372"/>
  <sheetViews>
    <sheetView workbookViewId="0">
      <selection activeCell="A37" sqref="A37"/>
    </sheetView>
  </sheetViews>
  <sheetFormatPr defaultColWidth="11.84375" defaultRowHeight="15.9" x14ac:dyDescent="0.45"/>
  <cols>
    <col min="1" max="1" width="21.53515625" style="1" bestFit="1" customWidth="1"/>
    <col min="2" max="2" width="21.53515625" style="1" customWidth="1"/>
    <col min="3" max="3" width="13.07421875" style="1" bestFit="1" customWidth="1"/>
    <col min="4" max="5" width="13.07421875" style="1" customWidth="1"/>
    <col min="6" max="6" width="22.4609375" style="1" bestFit="1" customWidth="1"/>
    <col min="7" max="7" width="25.4609375" style="1" bestFit="1" customWidth="1"/>
    <col min="8" max="8" width="25.4609375" style="1" customWidth="1"/>
    <col min="9" max="9" width="27.07421875" style="1" bestFit="1" customWidth="1"/>
    <col min="10" max="10" width="174.921875" style="1" bestFit="1" customWidth="1"/>
    <col min="11" max="16384" width="11.84375" style="1"/>
  </cols>
  <sheetData>
    <row r="1" spans="1:10" customFormat="1" x14ac:dyDescent="0.45">
      <c r="A1" s="6" t="s">
        <v>14</v>
      </c>
      <c r="B1" s="6"/>
      <c r="C1" s="1"/>
      <c r="D1" s="1"/>
      <c r="E1" s="1"/>
      <c r="F1" s="1"/>
      <c r="H1" s="65"/>
    </row>
    <row r="2" spans="1:10" customFormat="1" ht="31.75" customHeight="1" x14ac:dyDescent="0.45">
      <c r="A2" s="17" t="s">
        <v>111</v>
      </c>
      <c r="B2" s="72">
        <v>800</v>
      </c>
      <c r="C2" s="1"/>
      <c r="D2" s="1"/>
      <c r="E2" s="72"/>
      <c r="F2" s="1"/>
      <c r="H2" s="65"/>
    </row>
    <row r="3" spans="1:10" customFormat="1" ht="15.55" customHeight="1" x14ac:dyDescent="0.45">
      <c r="A3" s="17" t="s">
        <v>137</v>
      </c>
      <c r="B3" s="72">
        <v>0.6</v>
      </c>
      <c r="C3" s="1"/>
      <c r="D3" s="1"/>
      <c r="E3" s="72"/>
      <c r="F3" s="1"/>
      <c r="H3" s="65"/>
    </row>
    <row r="4" spans="1:10" customFormat="1" x14ac:dyDescent="0.45">
      <c r="A4" s="1" t="s">
        <v>136</v>
      </c>
      <c r="B4" s="1">
        <v>0.01</v>
      </c>
      <c r="C4" s="1"/>
      <c r="D4" s="1"/>
      <c r="E4" s="1"/>
      <c r="F4" s="72"/>
      <c r="H4" s="65"/>
    </row>
    <row r="5" spans="1:10" s="65" customFormat="1" x14ac:dyDescent="0.45">
      <c r="A5" s="1" t="s">
        <v>129</v>
      </c>
      <c r="B5" s="1">
        <v>2</v>
      </c>
      <c r="E5" s="1"/>
      <c r="F5" s="72"/>
    </row>
    <row r="6" spans="1:10" s="65" customFormat="1" x14ac:dyDescent="0.45">
      <c r="A6" s="1" t="s">
        <v>130</v>
      </c>
      <c r="B6" s="1">
        <v>2022</v>
      </c>
      <c r="E6" s="19"/>
      <c r="F6" s="72"/>
    </row>
    <row r="7" spans="1:10" s="65" customFormat="1" x14ac:dyDescent="0.45">
      <c r="A7" s="1" t="s">
        <v>128</v>
      </c>
      <c r="B7" s="19">
        <f>DATE($B$6,$B$5,1)</f>
        <v>44593</v>
      </c>
      <c r="C7" s="1"/>
      <c r="D7" s="1"/>
      <c r="E7" s="1"/>
      <c r="F7" s="72"/>
    </row>
    <row r="8" spans="1:10" s="65" customFormat="1" x14ac:dyDescent="0.45">
      <c r="A8" s="1" t="s">
        <v>140</v>
      </c>
      <c r="B8" s="78">
        <f>G13/C13</f>
        <v>702.4982532149744</v>
      </c>
      <c r="C8" s="1"/>
      <c r="D8" s="1"/>
      <c r="E8" s="1"/>
      <c r="F8" s="72"/>
    </row>
    <row r="9" spans="1:10" s="65" customFormat="1" x14ac:dyDescent="0.45">
      <c r="A9" s="1" t="s">
        <v>139</v>
      </c>
      <c r="B9" s="10">
        <f>I24/G13</f>
        <v>5.4757042521245456</v>
      </c>
      <c r="C9" s="1"/>
      <c r="D9" s="1"/>
      <c r="E9" s="1"/>
      <c r="F9" s="72"/>
    </row>
    <row r="10" spans="1:10" s="65" customFormat="1" x14ac:dyDescent="0.45">
      <c r="A10" s="1"/>
      <c r="B10" s="1"/>
      <c r="C10" s="1"/>
      <c r="D10" s="1"/>
      <c r="E10" s="1"/>
      <c r="F10" s="72"/>
    </row>
    <row r="11" spans="1:10" s="65" customFormat="1" x14ac:dyDescent="0.45">
      <c r="A11" s="1"/>
      <c r="B11" s="1"/>
      <c r="C11" s="1"/>
      <c r="D11" s="1"/>
      <c r="E11" s="1"/>
      <c r="F11" s="72"/>
    </row>
    <row r="12" spans="1:10" ht="47.6" x14ac:dyDescent="0.45">
      <c r="A12" s="64" t="s">
        <v>24</v>
      </c>
      <c r="B12" s="64" t="s">
        <v>134</v>
      </c>
      <c r="C12" s="64" t="s">
        <v>133</v>
      </c>
      <c r="D12" s="64" t="s">
        <v>135</v>
      </c>
      <c r="E12" s="64" t="s">
        <v>132</v>
      </c>
      <c r="F12" s="64" t="s">
        <v>131</v>
      </c>
      <c r="G12" s="64" t="s">
        <v>1</v>
      </c>
      <c r="H12" s="64" t="s">
        <v>138</v>
      </c>
      <c r="I12" s="64" t="s">
        <v>0</v>
      </c>
    </row>
    <row r="13" spans="1:10" x14ac:dyDescent="0.45">
      <c r="A13" s="1">
        <v>1</v>
      </c>
      <c r="B13" s="73">
        <f t="shared" ref="B13:B76" si="0">EDATE($B$7,A13)-1</f>
        <v>44620</v>
      </c>
      <c r="C13" s="74">
        <f>_xlfn.DAYS(B13,$B$7)+1</f>
        <v>28</v>
      </c>
      <c r="D13" s="74">
        <f>SUM(C$13:C13)</f>
        <v>28</v>
      </c>
      <c r="E13" s="75">
        <f>$B$2/(1+$B$3*$B$4*(D13-C13))^(1/$B$3)</f>
        <v>800</v>
      </c>
      <c r="F13" s="76">
        <f>$B$2/(1+$B$3*$B$4*(D13))^(1/$B$3)</f>
        <v>617.56866065061888</v>
      </c>
      <c r="G13" s="79">
        <f>I13</f>
        <v>19669.951090019284</v>
      </c>
      <c r="H13" s="79">
        <f>F13/$B$2</f>
        <v>0.77196082581327363</v>
      </c>
      <c r="I13" s="66">
        <f>($B$2^$B$3/($B$3-1)/$B$4)*(F13^(1-$B$3)-$B$2^(1-$B$3))</f>
        <v>19669.951090019284</v>
      </c>
      <c r="J13" s="77"/>
    </row>
    <row r="14" spans="1:10" x14ac:dyDescent="0.45">
      <c r="A14" s="1">
        <v>2</v>
      </c>
      <c r="B14" s="73">
        <f t="shared" si="0"/>
        <v>44651</v>
      </c>
      <c r="C14" s="74">
        <f>_xlfn.DAYS(B14,B13)</f>
        <v>31</v>
      </c>
      <c r="D14" s="74">
        <f>SUM(C$13:C14)</f>
        <v>59</v>
      </c>
      <c r="E14" s="75">
        <f t="shared" ref="E14:E77" si="1">$B$2/(1+$B$3*$B$4*(D14-C14))^(1/$B$3)</f>
        <v>617.56866065061888</v>
      </c>
      <c r="F14" s="76">
        <f t="shared" ref="F14:F77" si="2">$B$2/(1+$B$3*$B$4*(D14))^(1/$B$3)</f>
        <v>482.75362814177458</v>
      </c>
      <c r="G14" s="79">
        <f>I14-I13</f>
        <v>16917.94578398997</v>
      </c>
      <c r="H14" s="79">
        <f t="shared" ref="H14:H77" si="3">F14/$B$2</f>
        <v>0.60344203517721828</v>
      </c>
      <c r="I14" s="66">
        <f t="shared" ref="I14:I77" si="4">($B$2^$B$3/($B$3-1)/$B$4)*(F14^(1-$B$3)-$B$2^(1-$B$3))</f>
        <v>36587.896874009253</v>
      </c>
      <c r="J14" s="1">
        <f>$B$2/($B$3+1)*B14^($B$3+1)-$B$2/($B$3+1)*(B14-1)^($B$3+1)</f>
        <v>493157.65959739685</v>
      </c>
    </row>
    <row r="15" spans="1:10" x14ac:dyDescent="0.45">
      <c r="A15" s="1">
        <v>3</v>
      </c>
      <c r="B15" s="73">
        <f t="shared" si="0"/>
        <v>44681</v>
      </c>
      <c r="C15" s="74">
        <f t="shared" ref="C15:C78" si="5">_xlfn.DAYS(B15,B14)</f>
        <v>30</v>
      </c>
      <c r="D15" s="74">
        <f>SUM(C$13:C15)</f>
        <v>89</v>
      </c>
      <c r="E15" s="75">
        <f t="shared" si="1"/>
        <v>482.75362814177458</v>
      </c>
      <c r="F15" s="76">
        <f t="shared" si="2"/>
        <v>392.0857461672245</v>
      </c>
      <c r="G15" s="79">
        <f t="shared" ref="G15:G78" si="6">I15-I14</f>
        <v>13047.219470860109</v>
      </c>
      <c r="H15" s="79">
        <f t="shared" si="3"/>
        <v>0.49010718270903064</v>
      </c>
      <c r="I15" s="66">
        <f t="shared" si="4"/>
        <v>49635.116344869362</v>
      </c>
    </row>
    <row r="16" spans="1:10" x14ac:dyDescent="0.45">
      <c r="A16" s="1">
        <v>4</v>
      </c>
      <c r="B16" s="73">
        <f t="shared" si="0"/>
        <v>44712</v>
      </c>
      <c r="C16" s="74">
        <f t="shared" si="5"/>
        <v>31</v>
      </c>
      <c r="D16" s="74">
        <f>SUM(C$13:C16)</f>
        <v>120</v>
      </c>
      <c r="E16" s="75">
        <f t="shared" si="1"/>
        <v>392.0857461672245</v>
      </c>
      <c r="F16" s="76">
        <f t="shared" si="2"/>
        <v>323.99818360708991</v>
      </c>
      <c r="G16" s="79">
        <f t="shared" si="6"/>
        <v>11045.664704081908</v>
      </c>
      <c r="H16" s="79">
        <f t="shared" si="3"/>
        <v>0.40499772950886237</v>
      </c>
      <c r="I16" s="66">
        <f t="shared" si="4"/>
        <v>60680.78104895127</v>
      </c>
    </row>
    <row r="17" spans="1:9" x14ac:dyDescent="0.45">
      <c r="A17" s="1">
        <v>5</v>
      </c>
      <c r="B17" s="73">
        <f t="shared" si="0"/>
        <v>44742</v>
      </c>
      <c r="C17" s="74">
        <f t="shared" si="5"/>
        <v>30</v>
      </c>
      <c r="D17" s="74">
        <f>SUM(C$13:C17)</f>
        <v>150</v>
      </c>
      <c r="E17" s="75">
        <f t="shared" si="1"/>
        <v>323.99818360708991</v>
      </c>
      <c r="F17" s="76">
        <f t="shared" si="2"/>
        <v>274.47364645543956</v>
      </c>
      <c r="G17" s="79">
        <f t="shared" si="6"/>
        <v>8944.2368847149264</v>
      </c>
      <c r="H17" s="79">
        <f t="shared" si="3"/>
        <v>0.34309205806929943</v>
      </c>
      <c r="I17" s="66">
        <f t="shared" si="4"/>
        <v>69625.017933666197</v>
      </c>
    </row>
    <row r="18" spans="1:9" x14ac:dyDescent="0.45">
      <c r="A18" s="1">
        <v>6</v>
      </c>
      <c r="B18" s="73">
        <f t="shared" si="0"/>
        <v>44773</v>
      </c>
      <c r="C18" s="74">
        <f t="shared" si="5"/>
        <v>31</v>
      </c>
      <c r="D18" s="74">
        <f>SUM(C$13:C18)</f>
        <v>181</v>
      </c>
      <c r="E18" s="75">
        <f t="shared" si="1"/>
        <v>274.47364645543956</v>
      </c>
      <c r="F18" s="76">
        <f t="shared" si="2"/>
        <v>234.90890484538747</v>
      </c>
      <c r="G18" s="79">
        <f t="shared" si="6"/>
        <v>7869.9881894641876</v>
      </c>
      <c r="H18" s="79">
        <f t="shared" si="3"/>
        <v>0.29363613105673436</v>
      </c>
      <c r="I18" s="66">
        <f t="shared" si="4"/>
        <v>77495.006123130384</v>
      </c>
    </row>
    <row r="19" spans="1:9" x14ac:dyDescent="0.45">
      <c r="A19" s="1">
        <v>7</v>
      </c>
      <c r="B19" s="73">
        <f t="shared" si="0"/>
        <v>44804</v>
      </c>
      <c r="C19" s="74">
        <f t="shared" si="5"/>
        <v>31</v>
      </c>
      <c r="D19" s="74">
        <f>SUM(C$13:C19)</f>
        <v>212</v>
      </c>
      <c r="E19" s="75">
        <f t="shared" si="1"/>
        <v>234.90890484538747</v>
      </c>
      <c r="F19" s="76">
        <f t="shared" si="2"/>
        <v>203.73990935089847</v>
      </c>
      <c r="G19" s="79">
        <f t="shared" si="6"/>
        <v>6780.7253655592067</v>
      </c>
      <c r="H19" s="79">
        <f t="shared" si="3"/>
        <v>0.25467488668862309</v>
      </c>
      <c r="I19" s="66">
        <f t="shared" si="4"/>
        <v>84275.731488689591</v>
      </c>
    </row>
    <row r="20" spans="1:9" x14ac:dyDescent="0.45">
      <c r="A20" s="1">
        <v>8</v>
      </c>
      <c r="B20" s="73">
        <f t="shared" si="0"/>
        <v>44834</v>
      </c>
      <c r="C20" s="74">
        <f t="shared" si="5"/>
        <v>30</v>
      </c>
      <c r="D20" s="74">
        <f>SUM(C$13:C20)</f>
        <v>242</v>
      </c>
      <c r="E20" s="75">
        <f t="shared" si="1"/>
        <v>203.73990935089847</v>
      </c>
      <c r="F20" s="76">
        <f t="shared" si="2"/>
        <v>179.42758449731545</v>
      </c>
      <c r="G20" s="79">
        <f t="shared" si="6"/>
        <v>5735.1592144559982</v>
      </c>
      <c r="H20" s="79">
        <f t="shared" si="3"/>
        <v>0.2242844806216443</v>
      </c>
      <c r="I20" s="66">
        <f t="shared" si="4"/>
        <v>90010.890703145589</v>
      </c>
    </row>
    <row r="21" spans="1:9" x14ac:dyDescent="0.45">
      <c r="A21" s="1">
        <v>9</v>
      </c>
      <c r="B21" s="73">
        <f t="shared" si="0"/>
        <v>44865</v>
      </c>
      <c r="C21" s="74">
        <f t="shared" si="5"/>
        <v>31</v>
      </c>
      <c r="D21" s="74">
        <f>SUM(C$13:C21)</f>
        <v>273</v>
      </c>
      <c r="E21" s="75">
        <f t="shared" si="1"/>
        <v>179.42758449731545</v>
      </c>
      <c r="F21" s="76">
        <f t="shared" si="2"/>
        <v>158.8419957174257</v>
      </c>
      <c r="G21" s="79">
        <f t="shared" si="6"/>
        <v>5232.8131212120643</v>
      </c>
      <c r="H21" s="79">
        <f t="shared" si="3"/>
        <v>0.19855249464678212</v>
      </c>
      <c r="I21" s="66">
        <f t="shared" si="4"/>
        <v>95243.703824357654</v>
      </c>
    </row>
    <row r="22" spans="1:9" x14ac:dyDescent="0.45">
      <c r="A22" s="1">
        <v>10</v>
      </c>
      <c r="B22" s="73">
        <f t="shared" si="0"/>
        <v>44895</v>
      </c>
      <c r="C22" s="74">
        <f t="shared" si="5"/>
        <v>30</v>
      </c>
      <c r="D22" s="74">
        <f>SUM(C$13:C22)</f>
        <v>303</v>
      </c>
      <c r="E22" s="75">
        <f t="shared" si="1"/>
        <v>158.8419957174257</v>
      </c>
      <c r="F22" s="76">
        <f t="shared" si="2"/>
        <v>142.29457374596652</v>
      </c>
      <c r="G22" s="79">
        <f t="shared" si="6"/>
        <v>4509.7689716088789</v>
      </c>
      <c r="H22" s="79">
        <f t="shared" si="3"/>
        <v>0.17786821718245815</v>
      </c>
      <c r="I22" s="66">
        <f t="shared" si="4"/>
        <v>99753.472795966532</v>
      </c>
    </row>
    <row r="23" spans="1:9" x14ac:dyDescent="0.45">
      <c r="A23" s="1">
        <v>11</v>
      </c>
      <c r="B23" s="73">
        <f t="shared" si="0"/>
        <v>44926</v>
      </c>
      <c r="C23" s="74">
        <f t="shared" si="5"/>
        <v>31</v>
      </c>
      <c r="D23" s="74">
        <f>SUM(C$13:C23)</f>
        <v>334</v>
      </c>
      <c r="E23" s="75">
        <f t="shared" si="1"/>
        <v>142.29457374596652</v>
      </c>
      <c r="F23" s="76">
        <f t="shared" si="2"/>
        <v>127.91557864600159</v>
      </c>
      <c r="G23" s="79">
        <f t="shared" si="6"/>
        <v>4181.9276408862061</v>
      </c>
      <c r="H23" s="79">
        <f t="shared" si="3"/>
        <v>0.15989447330750198</v>
      </c>
      <c r="I23" s="66">
        <f t="shared" si="4"/>
        <v>103935.40043685274</v>
      </c>
    </row>
    <row r="24" spans="1:9" x14ac:dyDescent="0.45">
      <c r="A24" s="1">
        <v>12</v>
      </c>
      <c r="B24" s="73">
        <f t="shared" si="0"/>
        <v>44957</v>
      </c>
      <c r="C24" s="74">
        <f t="shared" si="5"/>
        <v>31</v>
      </c>
      <c r="D24" s="74">
        <f>SUM(C$13:C24)</f>
        <v>365</v>
      </c>
      <c r="E24" s="75">
        <f t="shared" si="1"/>
        <v>127.91557864600159</v>
      </c>
      <c r="F24" s="76">
        <f t="shared" si="2"/>
        <v>115.72810680539119</v>
      </c>
      <c r="G24" s="79">
        <f t="shared" si="6"/>
        <v>3771.4343858476932</v>
      </c>
      <c r="H24" s="79">
        <f t="shared" si="3"/>
        <v>0.14466013350673898</v>
      </c>
      <c r="I24" s="66">
        <f t="shared" si="4"/>
        <v>107706.83482270043</v>
      </c>
    </row>
    <row r="25" spans="1:9" x14ac:dyDescent="0.45">
      <c r="A25" s="1">
        <v>13</v>
      </c>
      <c r="B25" s="73">
        <f t="shared" si="0"/>
        <v>44985</v>
      </c>
      <c r="C25" s="74">
        <f t="shared" si="5"/>
        <v>28</v>
      </c>
      <c r="D25" s="74">
        <f>SUM(C$13:C25)</f>
        <v>393</v>
      </c>
      <c r="E25" s="75">
        <f t="shared" si="1"/>
        <v>115.72810680539119</v>
      </c>
      <c r="F25" s="76">
        <f t="shared" si="2"/>
        <v>106.24018884327872</v>
      </c>
      <c r="G25" s="79">
        <f t="shared" si="6"/>
        <v>3104.5266433669749</v>
      </c>
      <c r="H25" s="79">
        <f t="shared" si="3"/>
        <v>0.13280023605409841</v>
      </c>
      <c r="I25" s="66">
        <f t="shared" si="4"/>
        <v>110811.36146606741</v>
      </c>
    </row>
    <row r="26" spans="1:9" x14ac:dyDescent="0.45">
      <c r="A26" s="1">
        <v>14</v>
      </c>
      <c r="B26" s="73">
        <f t="shared" si="0"/>
        <v>45016</v>
      </c>
      <c r="C26" s="74">
        <f t="shared" si="5"/>
        <v>31</v>
      </c>
      <c r="D26" s="74">
        <f>SUM(C$13:C26)</f>
        <v>424</v>
      </c>
      <c r="E26" s="75">
        <f t="shared" si="1"/>
        <v>106.24018884327872</v>
      </c>
      <c r="F26" s="76">
        <f t="shared" si="2"/>
        <v>97.110710506969653</v>
      </c>
      <c r="G26" s="79">
        <f t="shared" si="6"/>
        <v>3148.5490247574053</v>
      </c>
      <c r="H26" s="79">
        <f t="shared" si="3"/>
        <v>0.12138838813371207</v>
      </c>
      <c r="I26" s="66">
        <f t="shared" si="4"/>
        <v>113959.91049082481</v>
      </c>
    </row>
    <row r="27" spans="1:9" x14ac:dyDescent="0.45">
      <c r="A27" s="1">
        <v>15</v>
      </c>
      <c r="B27" s="73">
        <f t="shared" si="0"/>
        <v>45046</v>
      </c>
      <c r="C27" s="74">
        <f t="shared" si="5"/>
        <v>30</v>
      </c>
      <c r="D27" s="74">
        <f>SUM(C$13:C27)</f>
        <v>454</v>
      </c>
      <c r="E27" s="75">
        <f t="shared" si="1"/>
        <v>97.110710506969653</v>
      </c>
      <c r="F27" s="76">
        <f t="shared" si="2"/>
        <v>89.41434506463662</v>
      </c>
      <c r="G27" s="79">
        <f t="shared" si="6"/>
        <v>2795.3342539984296</v>
      </c>
      <c r="H27" s="79">
        <f t="shared" si="3"/>
        <v>0.11176793133079578</v>
      </c>
      <c r="I27" s="66">
        <f t="shared" si="4"/>
        <v>116755.24474482324</v>
      </c>
    </row>
    <row r="28" spans="1:9" x14ac:dyDescent="0.45">
      <c r="A28" s="1">
        <v>16</v>
      </c>
      <c r="B28" s="73">
        <f t="shared" si="0"/>
        <v>45077</v>
      </c>
      <c r="C28" s="74">
        <f t="shared" si="5"/>
        <v>31</v>
      </c>
      <c r="D28" s="74">
        <f>SUM(C$13:C28)</f>
        <v>485</v>
      </c>
      <c r="E28" s="75">
        <f t="shared" si="1"/>
        <v>89.41434506463662</v>
      </c>
      <c r="F28" s="76">
        <f t="shared" si="2"/>
        <v>82.438242533976634</v>
      </c>
      <c r="G28" s="79">
        <f t="shared" si="6"/>
        <v>2661.3731782145333</v>
      </c>
      <c r="H28" s="79">
        <f t="shared" si="3"/>
        <v>0.10304780316747079</v>
      </c>
      <c r="I28" s="66">
        <f t="shared" si="4"/>
        <v>119416.61792303777</v>
      </c>
    </row>
    <row r="29" spans="1:9" x14ac:dyDescent="0.45">
      <c r="A29" s="1">
        <v>17</v>
      </c>
      <c r="B29" s="73">
        <f t="shared" si="0"/>
        <v>45107</v>
      </c>
      <c r="C29" s="74">
        <f t="shared" si="5"/>
        <v>30</v>
      </c>
      <c r="D29" s="74">
        <f>SUM(C$13:C29)</f>
        <v>515</v>
      </c>
      <c r="E29" s="75">
        <f t="shared" si="1"/>
        <v>82.438242533976634</v>
      </c>
      <c r="F29" s="76">
        <f t="shared" si="2"/>
        <v>76.480574277749596</v>
      </c>
      <c r="G29" s="79">
        <f t="shared" si="6"/>
        <v>2381.9948779631814</v>
      </c>
      <c r="H29" s="79">
        <f t="shared" si="3"/>
        <v>9.5600717847186989E-2</v>
      </c>
      <c r="I29" s="66">
        <f t="shared" si="4"/>
        <v>121798.61280100096</v>
      </c>
    </row>
    <row r="30" spans="1:9" x14ac:dyDescent="0.45">
      <c r="A30" s="1">
        <v>18</v>
      </c>
      <c r="B30" s="73">
        <f t="shared" si="0"/>
        <v>45138</v>
      </c>
      <c r="C30" s="74">
        <f t="shared" si="5"/>
        <v>31</v>
      </c>
      <c r="D30" s="74">
        <f>SUM(C$13:C30)</f>
        <v>546</v>
      </c>
      <c r="E30" s="75">
        <f t="shared" si="1"/>
        <v>76.480574277749596</v>
      </c>
      <c r="F30" s="76">
        <f t="shared" si="2"/>
        <v>71.016700834127249</v>
      </c>
      <c r="G30" s="79">
        <f t="shared" si="6"/>
        <v>2284.5340073169646</v>
      </c>
      <c r="H30" s="79">
        <f t="shared" si="3"/>
        <v>8.8770876042659055E-2</v>
      </c>
      <c r="I30" s="66">
        <f t="shared" si="4"/>
        <v>124083.14680831792</v>
      </c>
    </row>
    <row r="31" spans="1:9" x14ac:dyDescent="0.45">
      <c r="A31" s="1">
        <v>19</v>
      </c>
      <c r="B31" s="73">
        <f t="shared" si="0"/>
        <v>45169</v>
      </c>
      <c r="C31" s="74">
        <f t="shared" si="5"/>
        <v>31</v>
      </c>
      <c r="D31" s="74">
        <f>SUM(C$13:C31)</f>
        <v>577</v>
      </c>
      <c r="E31" s="75">
        <f t="shared" si="1"/>
        <v>71.016700834127249</v>
      </c>
      <c r="F31" s="76">
        <f t="shared" si="2"/>
        <v>66.151654460174797</v>
      </c>
      <c r="G31" s="79">
        <f t="shared" si="6"/>
        <v>2124.6826413570088</v>
      </c>
      <c r="H31" s="79">
        <f t="shared" si="3"/>
        <v>8.2689568075218489E-2</v>
      </c>
      <c r="I31" s="66">
        <f t="shared" si="4"/>
        <v>126207.82944967493</v>
      </c>
    </row>
    <row r="32" spans="1:9" x14ac:dyDescent="0.45">
      <c r="A32" s="1">
        <v>20</v>
      </c>
      <c r="B32" s="73">
        <f t="shared" si="0"/>
        <v>45199</v>
      </c>
      <c r="C32" s="74">
        <f t="shared" si="5"/>
        <v>30</v>
      </c>
      <c r="D32" s="74">
        <f>SUM(C$13:C32)</f>
        <v>607</v>
      </c>
      <c r="E32" s="75">
        <f t="shared" si="1"/>
        <v>66.151654460174797</v>
      </c>
      <c r="F32" s="76">
        <f t="shared" si="2"/>
        <v>61.931950802865174</v>
      </c>
      <c r="G32" s="79">
        <f t="shared" si="6"/>
        <v>1920.1416435999708</v>
      </c>
      <c r="H32" s="79">
        <f t="shared" si="3"/>
        <v>7.7414938503581471E-2</v>
      </c>
      <c r="I32" s="66">
        <f t="shared" si="4"/>
        <v>128127.9710932749</v>
      </c>
    </row>
    <row r="33" spans="1:9" x14ac:dyDescent="0.45">
      <c r="A33" s="1">
        <v>21</v>
      </c>
      <c r="B33" s="73">
        <f t="shared" si="0"/>
        <v>45230</v>
      </c>
      <c r="C33" s="74">
        <f t="shared" si="5"/>
        <v>31</v>
      </c>
      <c r="D33" s="74">
        <f>SUM(C$13:C33)</f>
        <v>638</v>
      </c>
      <c r="E33" s="75">
        <f t="shared" si="1"/>
        <v>61.931950802865174</v>
      </c>
      <c r="F33" s="76">
        <f t="shared" si="2"/>
        <v>58.006663329698881</v>
      </c>
      <c r="G33" s="79">
        <f t="shared" si="6"/>
        <v>1857.9862677784695</v>
      </c>
      <c r="H33" s="79">
        <f t="shared" si="3"/>
        <v>7.2508329162123603E-2</v>
      </c>
      <c r="I33" s="66">
        <f t="shared" si="4"/>
        <v>129985.95736105337</v>
      </c>
    </row>
    <row r="34" spans="1:9" x14ac:dyDescent="0.45">
      <c r="A34" s="1">
        <v>22</v>
      </c>
      <c r="B34" s="73">
        <f t="shared" si="0"/>
        <v>45260</v>
      </c>
      <c r="C34" s="74">
        <f t="shared" si="5"/>
        <v>30</v>
      </c>
      <c r="D34" s="74">
        <f>SUM(C$13:C34)</f>
        <v>668</v>
      </c>
      <c r="E34" s="75">
        <f t="shared" si="1"/>
        <v>58.006663329698881</v>
      </c>
      <c r="F34" s="76">
        <f t="shared" si="2"/>
        <v>54.573623030211998</v>
      </c>
      <c r="G34" s="79">
        <f t="shared" si="6"/>
        <v>1687.8666051211039</v>
      </c>
      <c r="H34" s="79">
        <f t="shared" si="3"/>
        <v>6.8217028787764991E-2</v>
      </c>
      <c r="I34" s="66">
        <f t="shared" si="4"/>
        <v>131673.82396617447</v>
      </c>
    </row>
    <row r="35" spans="1:9" x14ac:dyDescent="0.45">
      <c r="A35" s="1">
        <v>23</v>
      </c>
      <c r="B35" s="73">
        <f t="shared" si="0"/>
        <v>45291</v>
      </c>
      <c r="C35" s="74">
        <f t="shared" si="5"/>
        <v>31</v>
      </c>
      <c r="D35" s="74">
        <f>SUM(C$13:C35)</f>
        <v>699</v>
      </c>
      <c r="E35" s="75">
        <f t="shared" si="1"/>
        <v>54.573623030211998</v>
      </c>
      <c r="F35" s="76">
        <f t="shared" si="2"/>
        <v>51.355474333193492</v>
      </c>
      <c r="G35" s="79">
        <f t="shared" si="6"/>
        <v>1641.0926121736702</v>
      </c>
      <c r="H35" s="79">
        <f t="shared" si="3"/>
        <v>6.419434291649187E-2</v>
      </c>
      <c r="I35" s="66">
        <f t="shared" si="4"/>
        <v>133314.91657834814</v>
      </c>
    </row>
    <row r="36" spans="1:9" x14ac:dyDescent="0.45">
      <c r="A36" s="1">
        <v>24</v>
      </c>
      <c r="B36" s="73">
        <f t="shared" si="0"/>
        <v>45322</v>
      </c>
      <c r="C36" s="74">
        <f t="shared" si="5"/>
        <v>31</v>
      </c>
      <c r="D36" s="74">
        <f>SUM(C$13:C36)</f>
        <v>730</v>
      </c>
      <c r="E36" s="75">
        <f t="shared" si="1"/>
        <v>51.355474333193492</v>
      </c>
      <c r="F36" s="76">
        <f t="shared" si="2"/>
        <v>48.430564098004517</v>
      </c>
      <c r="G36" s="79">
        <f t="shared" si="6"/>
        <v>1545.9747098356893</v>
      </c>
      <c r="H36" s="79">
        <f t="shared" si="3"/>
        <v>6.0538205122505649E-2</v>
      </c>
      <c r="I36" s="66">
        <f t="shared" si="4"/>
        <v>134860.89128818383</v>
      </c>
    </row>
    <row r="37" spans="1:9" x14ac:dyDescent="0.45">
      <c r="A37" s="1">
        <v>25</v>
      </c>
      <c r="B37" s="73">
        <f t="shared" si="0"/>
        <v>45351</v>
      </c>
      <c r="C37" s="74">
        <f t="shared" si="5"/>
        <v>29</v>
      </c>
      <c r="D37" s="74">
        <f>SUM(C$13:C37)</f>
        <v>759</v>
      </c>
      <c r="E37" s="75">
        <f t="shared" si="1"/>
        <v>48.430564098004517</v>
      </c>
      <c r="F37" s="76">
        <f t="shared" si="2"/>
        <v>45.928281386174966</v>
      </c>
      <c r="G37" s="79">
        <f t="shared" si="6"/>
        <v>1367.6900071121345</v>
      </c>
      <c r="H37" s="79">
        <f t="shared" si="3"/>
        <v>5.741035173271871E-2</v>
      </c>
      <c r="I37" s="66">
        <f t="shared" si="4"/>
        <v>136228.58129529597</v>
      </c>
    </row>
    <row r="38" spans="1:9" x14ac:dyDescent="0.45">
      <c r="A38" s="1">
        <v>26</v>
      </c>
      <c r="B38" s="73">
        <f t="shared" si="0"/>
        <v>45382</v>
      </c>
      <c r="C38" s="74">
        <f t="shared" si="5"/>
        <v>31</v>
      </c>
      <c r="D38" s="74">
        <f>SUM(C$13:C38)</f>
        <v>790</v>
      </c>
      <c r="E38" s="75">
        <f t="shared" si="1"/>
        <v>45.928281386174966</v>
      </c>
      <c r="F38" s="76">
        <f t="shared" si="2"/>
        <v>43.47472394368905</v>
      </c>
      <c r="G38" s="79">
        <f t="shared" si="6"/>
        <v>1385.1898455101473</v>
      </c>
      <c r="H38" s="79">
        <f t="shared" si="3"/>
        <v>5.4343404929611309E-2</v>
      </c>
      <c r="I38" s="66">
        <f t="shared" si="4"/>
        <v>137613.77114080611</v>
      </c>
    </row>
    <row r="39" spans="1:9" x14ac:dyDescent="0.45">
      <c r="A39" s="1">
        <v>27</v>
      </c>
      <c r="B39" s="73">
        <f t="shared" si="0"/>
        <v>45412</v>
      </c>
      <c r="C39" s="74">
        <f t="shared" si="5"/>
        <v>30</v>
      </c>
      <c r="D39" s="74">
        <f>SUM(C$13:C39)</f>
        <v>820</v>
      </c>
      <c r="E39" s="75">
        <f t="shared" si="1"/>
        <v>43.47472394368905</v>
      </c>
      <c r="F39" s="76">
        <f t="shared" si="2"/>
        <v>41.294017971650263</v>
      </c>
      <c r="G39" s="79">
        <f t="shared" si="6"/>
        <v>1271.0822611514304</v>
      </c>
      <c r="H39" s="79">
        <f t="shared" si="3"/>
        <v>5.1617522464562832E-2</v>
      </c>
      <c r="I39" s="66">
        <f t="shared" si="4"/>
        <v>138884.85340195755</v>
      </c>
    </row>
    <row r="40" spans="1:9" x14ac:dyDescent="0.45">
      <c r="A40" s="1">
        <v>28</v>
      </c>
      <c r="B40" s="73">
        <f t="shared" si="0"/>
        <v>45443</v>
      </c>
      <c r="C40" s="74">
        <f t="shared" si="5"/>
        <v>31</v>
      </c>
      <c r="D40" s="74">
        <f>SUM(C$13:C40)</f>
        <v>851</v>
      </c>
      <c r="E40" s="75">
        <f t="shared" si="1"/>
        <v>41.294017971650263</v>
      </c>
      <c r="F40" s="76">
        <f t="shared" si="2"/>
        <v>39.218892039351552</v>
      </c>
      <c r="G40" s="79">
        <f t="shared" si="6"/>
        <v>1247.5078999722027</v>
      </c>
      <c r="H40" s="79">
        <f t="shared" si="3"/>
        <v>4.9023615049189437E-2</v>
      </c>
      <c r="I40" s="66">
        <f t="shared" si="4"/>
        <v>140132.36130192975</v>
      </c>
    </row>
    <row r="41" spans="1:9" x14ac:dyDescent="0.45">
      <c r="A41" s="1">
        <v>29</v>
      </c>
      <c r="B41" s="73">
        <f t="shared" si="0"/>
        <v>45473</v>
      </c>
      <c r="C41" s="74">
        <f t="shared" si="5"/>
        <v>30</v>
      </c>
      <c r="D41" s="74">
        <f>SUM(C$13:C41)</f>
        <v>881</v>
      </c>
      <c r="E41" s="75">
        <f t="shared" si="1"/>
        <v>39.218892039351552</v>
      </c>
      <c r="F41" s="76">
        <f t="shared" si="2"/>
        <v>37.365089414304656</v>
      </c>
      <c r="G41" s="79">
        <f t="shared" si="6"/>
        <v>1148.4006834903848</v>
      </c>
      <c r="H41" s="79">
        <f t="shared" si="3"/>
        <v>4.6706361767880816E-2</v>
      </c>
      <c r="I41" s="66">
        <f t="shared" si="4"/>
        <v>141280.76198542013</v>
      </c>
    </row>
    <row r="42" spans="1:9" x14ac:dyDescent="0.45">
      <c r="A42" s="1">
        <v>30</v>
      </c>
      <c r="B42" s="73">
        <f t="shared" si="0"/>
        <v>45504</v>
      </c>
      <c r="C42" s="74">
        <f t="shared" si="5"/>
        <v>31</v>
      </c>
      <c r="D42" s="74">
        <f>SUM(C$13:C42)</f>
        <v>912</v>
      </c>
      <c r="E42" s="75">
        <f t="shared" si="1"/>
        <v>37.365089414304656</v>
      </c>
      <c r="F42" s="76">
        <f t="shared" si="2"/>
        <v>35.592552910729104</v>
      </c>
      <c r="G42" s="79">
        <f t="shared" si="6"/>
        <v>1130.4874050200742</v>
      </c>
      <c r="H42" s="79">
        <f t="shared" si="3"/>
        <v>4.4490691138411378E-2</v>
      </c>
      <c r="I42" s="66">
        <f t="shared" si="4"/>
        <v>142411.24939044021</v>
      </c>
    </row>
    <row r="43" spans="1:9" x14ac:dyDescent="0.45">
      <c r="A43" s="1">
        <v>31</v>
      </c>
      <c r="B43" s="73">
        <f t="shared" si="0"/>
        <v>45535</v>
      </c>
      <c r="C43" s="74">
        <f t="shared" si="5"/>
        <v>31</v>
      </c>
      <c r="D43" s="74">
        <f>SUM(C$13:C43)</f>
        <v>943</v>
      </c>
      <c r="E43" s="75">
        <f t="shared" si="1"/>
        <v>35.592552910729104</v>
      </c>
      <c r="F43" s="76">
        <f t="shared" si="2"/>
        <v>33.95082528049916</v>
      </c>
      <c r="G43" s="79">
        <f t="shared" si="6"/>
        <v>1077.6019301688648</v>
      </c>
      <c r="H43" s="79">
        <f t="shared" si="3"/>
        <v>4.2438531600623948E-2</v>
      </c>
      <c r="I43" s="66">
        <f t="shared" si="4"/>
        <v>143488.85132060907</v>
      </c>
    </row>
    <row r="44" spans="1:9" x14ac:dyDescent="0.45">
      <c r="A44" s="1">
        <v>32</v>
      </c>
      <c r="B44" s="73">
        <f t="shared" si="0"/>
        <v>45565</v>
      </c>
      <c r="C44" s="74">
        <f t="shared" si="5"/>
        <v>30</v>
      </c>
      <c r="D44" s="74">
        <f>SUM(C$13:C44)</f>
        <v>973</v>
      </c>
      <c r="E44" s="75">
        <f t="shared" si="1"/>
        <v>33.95082528049916</v>
      </c>
      <c r="F44" s="76">
        <f t="shared" si="2"/>
        <v>32.474426704922614</v>
      </c>
      <c r="G44" s="79">
        <f t="shared" si="6"/>
        <v>996.1162273256341</v>
      </c>
      <c r="H44" s="79">
        <f t="shared" si="3"/>
        <v>4.0593033381153269E-2</v>
      </c>
      <c r="I44" s="66">
        <f t="shared" si="4"/>
        <v>144484.96754793471</v>
      </c>
    </row>
    <row r="45" spans="1:9" x14ac:dyDescent="0.45">
      <c r="A45" s="1">
        <v>33</v>
      </c>
      <c r="B45" s="73">
        <f t="shared" si="0"/>
        <v>45596</v>
      </c>
      <c r="C45" s="74">
        <f t="shared" si="5"/>
        <v>31</v>
      </c>
      <c r="D45" s="74">
        <f>SUM(C$13:C45)</f>
        <v>1004</v>
      </c>
      <c r="E45" s="75">
        <f t="shared" si="1"/>
        <v>32.474426704922614</v>
      </c>
      <c r="F45" s="76">
        <f t="shared" si="2"/>
        <v>31.05387607059383</v>
      </c>
      <c r="G45" s="79">
        <f t="shared" si="6"/>
        <v>984.4260721024184</v>
      </c>
      <c r="H45" s="79">
        <f t="shared" si="3"/>
        <v>3.8817345088242285E-2</v>
      </c>
      <c r="I45" s="66">
        <f t="shared" si="4"/>
        <v>145469.39362003712</v>
      </c>
    </row>
    <row r="46" spans="1:9" x14ac:dyDescent="0.45">
      <c r="A46" s="1">
        <v>34</v>
      </c>
      <c r="B46" s="73">
        <f t="shared" si="0"/>
        <v>45626</v>
      </c>
      <c r="C46" s="74">
        <f t="shared" si="5"/>
        <v>30</v>
      </c>
      <c r="D46" s="74">
        <f>SUM(C$13:C46)</f>
        <v>1034</v>
      </c>
      <c r="E46" s="75">
        <f t="shared" si="1"/>
        <v>31.05387607059383</v>
      </c>
      <c r="F46" s="76">
        <f t="shared" si="2"/>
        <v>29.771483787194125</v>
      </c>
      <c r="G46" s="79">
        <f t="shared" si="6"/>
        <v>912.16407922617509</v>
      </c>
      <c r="H46" s="79">
        <f t="shared" si="3"/>
        <v>3.7214354733992656E-2</v>
      </c>
      <c r="I46" s="66">
        <f t="shared" si="4"/>
        <v>146381.5576992633</v>
      </c>
    </row>
    <row r="47" spans="1:9" x14ac:dyDescent="0.45">
      <c r="A47" s="1">
        <v>35</v>
      </c>
      <c r="B47" s="73">
        <f t="shared" si="0"/>
        <v>45657</v>
      </c>
      <c r="C47" s="74">
        <f t="shared" si="5"/>
        <v>31</v>
      </c>
      <c r="D47" s="74">
        <f>SUM(C$13:C47)</f>
        <v>1065</v>
      </c>
      <c r="E47" s="75">
        <f t="shared" si="1"/>
        <v>29.771483787194125</v>
      </c>
      <c r="F47" s="76">
        <f t="shared" si="2"/>
        <v>28.53311956967168</v>
      </c>
      <c r="G47" s="79">
        <f t="shared" si="6"/>
        <v>903.50389576816815</v>
      </c>
      <c r="H47" s="79">
        <f t="shared" si="3"/>
        <v>3.5666399462089597E-2</v>
      </c>
      <c r="I47" s="66">
        <f t="shared" si="4"/>
        <v>147285.06159503147</v>
      </c>
    </row>
    <row r="48" spans="1:9" x14ac:dyDescent="0.45">
      <c r="A48" s="1">
        <v>36</v>
      </c>
      <c r="B48" s="73">
        <f t="shared" si="0"/>
        <v>45688</v>
      </c>
      <c r="C48" s="74">
        <f t="shared" si="5"/>
        <v>31</v>
      </c>
      <c r="D48" s="74">
        <f>SUM(C$13:C48)</f>
        <v>1096</v>
      </c>
      <c r="E48" s="75">
        <f t="shared" si="1"/>
        <v>28.53311956967168</v>
      </c>
      <c r="F48" s="76">
        <f t="shared" si="2"/>
        <v>27.375162782954959</v>
      </c>
      <c r="G48" s="79">
        <f t="shared" si="6"/>
        <v>866.38009405176854</v>
      </c>
      <c r="H48" s="79">
        <f t="shared" si="3"/>
        <v>3.4218953478693699E-2</v>
      </c>
      <c r="I48" s="66">
        <f t="shared" si="4"/>
        <v>148151.44168908324</v>
      </c>
    </row>
    <row r="49" spans="1:9" x14ac:dyDescent="0.45">
      <c r="A49" s="1">
        <v>37</v>
      </c>
      <c r="B49" s="73">
        <f t="shared" si="0"/>
        <v>45716</v>
      </c>
      <c r="C49" s="74">
        <f t="shared" si="5"/>
        <v>28</v>
      </c>
      <c r="D49" s="74">
        <f>SUM(C$13:C49)</f>
        <v>1124</v>
      </c>
      <c r="E49" s="75">
        <f t="shared" si="1"/>
        <v>27.375162782954959</v>
      </c>
      <c r="F49" s="76">
        <f t="shared" si="2"/>
        <v>26.392533399617825</v>
      </c>
      <c r="G49" s="79">
        <f t="shared" si="6"/>
        <v>752.61364925652742</v>
      </c>
      <c r="H49" s="79">
        <f t="shared" si="3"/>
        <v>3.2990666749522279E-2</v>
      </c>
      <c r="I49" s="66">
        <f t="shared" si="4"/>
        <v>148904.05533833976</v>
      </c>
    </row>
    <row r="50" spans="1:9" x14ac:dyDescent="0.45">
      <c r="A50" s="1">
        <v>38</v>
      </c>
      <c r="B50" s="73">
        <f t="shared" si="0"/>
        <v>45747</v>
      </c>
      <c r="C50" s="74">
        <f t="shared" si="5"/>
        <v>31</v>
      </c>
      <c r="D50" s="74">
        <f>SUM(C$13:C50)</f>
        <v>1155</v>
      </c>
      <c r="E50" s="75">
        <f t="shared" si="1"/>
        <v>26.392533399617825</v>
      </c>
      <c r="F50" s="76">
        <f t="shared" si="2"/>
        <v>25.368882763090053</v>
      </c>
      <c r="G50" s="79">
        <f t="shared" si="6"/>
        <v>802.13458383412217</v>
      </c>
      <c r="H50" s="79">
        <f t="shared" si="3"/>
        <v>3.1711103453862563E-2</v>
      </c>
      <c r="I50" s="66">
        <f t="shared" si="4"/>
        <v>149706.18992217389</v>
      </c>
    </row>
    <row r="51" spans="1:9" x14ac:dyDescent="0.45">
      <c r="A51" s="1">
        <v>39</v>
      </c>
      <c r="B51" s="73">
        <f t="shared" si="0"/>
        <v>45777</v>
      </c>
      <c r="C51" s="74">
        <f t="shared" si="5"/>
        <v>30</v>
      </c>
      <c r="D51" s="74">
        <f>SUM(C$13:C51)</f>
        <v>1185</v>
      </c>
      <c r="E51" s="75">
        <f t="shared" si="1"/>
        <v>25.368882763090053</v>
      </c>
      <c r="F51" s="76">
        <f t="shared" si="2"/>
        <v>24.437413077029479</v>
      </c>
      <c r="G51" s="79">
        <f t="shared" si="6"/>
        <v>746.95506414878764</v>
      </c>
      <c r="H51" s="79">
        <f t="shared" si="3"/>
        <v>3.0546766346286849E-2</v>
      </c>
      <c r="I51" s="66">
        <f t="shared" si="4"/>
        <v>150453.14498632267</v>
      </c>
    </row>
    <row r="52" spans="1:9" x14ac:dyDescent="0.45">
      <c r="A52" s="1">
        <v>40</v>
      </c>
      <c r="B52" s="73">
        <f t="shared" si="0"/>
        <v>45808</v>
      </c>
      <c r="C52" s="74">
        <f t="shared" si="5"/>
        <v>31</v>
      </c>
      <c r="D52" s="74">
        <f>SUM(C$13:C52)</f>
        <v>1216</v>
      </c>
      <c r="E52" s="75">
        <f t="shared" si="1"/>
        <v>24.437413077029479</v>
      </c>
      <c r="F52" s="76">
        <f t="shared" si="2"/>
        <v>23.531091975379194</v>
      </c>
      <c r="G52" s="79">
        <f t="shared" si="6"/>
        <v>743.3702567408036</v>
      </c>
      <c r="H52" s="79">
        <f t="shared" si="3"/>
        <v>2.9413864969223994E-2</v>
      </c>
      <c r="I52" s="66">
        <f t="shared" si="4"/>
        <v>151196.51524306348</v>
      </c>
    </row>
    <row r="53" spans="1:9" x14ac:dyDescent="0.45">
      <c r="A53" s="1">
        <v>41</v>
      </c>
      <c r="B53" s="73">
        <f t="shared" si="0"/>
        <v>45838</v>
      </c>
      <c r="C53" s="74">
        <f t="shared" si="5"/>
        <v>30</v>
      </c>
      <c r="D53" s="74">
        <f>SUM(C$13:C53)</f>
        <v>1246</v>
      </c>
      <c r="E53" s="75">
        <f t="shared" si="1"/>
        <v>23.531091975379194</v>
      </c>
      <c r="F53" s="76">
        <f t="shared" si="2"/>
        <v>22.704140914481727</v>
      </c>
      <c r="G53" s="79">
        <f t="shared" si="6"/>
        <v>693.41015914967284</v>
      </c>
      <c r="H53" s="79">
        <f t="shared" si="3"/>
        <v>2.8380176143102159E-2</v>
      </c>
      <c r="I53" s="66">
        <f t="shared" si="4"/>
        <v>151889.92540221315</v>
      </c>
    </row>
    <row r="54" spans="1:9" x14ac:dyDescent="0.45">
      <c r="A54" s="1">
        <v>42</v>
      </c>
      <c r="B54" s="73">
        <f t="shared" si="0"/>
        <v>45869</v>
      </c>
      <c r="C54" s="74">
        <f t="shared" si="5"/>
        <v>31</v>
      </c>
      <c r="D54" s="74">
        <f>SUM(C$13:C54)</f>
        <v>1277</v>
      </c>
      <c r="E54" s="75">
        <f t="shared" si="1"/>
        <v>22.704140914481727</v>
      </c>
      <c r="F54" s="76">
        <f t="shared" si="2"/>
        <v>21.89742367914333</v>
      </c>
      <c r="G54" s="79">
        <f t="shared" si="6"/>
        <v>691.20362060188199</v>
      </c>
      <c r="H54" s="79">
        <f t="shared" si="3"/>
        <v>2.7371779598929162E-2</v>
      </c>
      <c r="I54" s="66">
        <f t="shared" si="4"/>
        <v>152581.12902281503</v>
      </c>
    </row>
    <row r="55" spans="1:9" x14ac:dyDescent="0.45">
      <c r="A55" s="1">
        <v>43</v>
      </c>
      <c r="B55" s="73">
        <f t="shared" si="0"/>
        <v>45900</v>
      </c>
      <c r="C55" s="74">
        <f t="shared" si="5"/>
        <v>31</v>
      </c>
      <c r="D55" s="74">
        <f>SUM(C$13:C55)</f>
        <v>1308</v>
      </c>
      <c r="E55" s="75">
        <f t="shared" si="1"/>
        <v>21.89742367914333</v>
      </c>
      <c r="F55" s="76">
        <f t="shared" si="2"/>
        <v>21.135610507717956</v>
      </c>
      <c r="G55" s="79">
        <f t="shared" si="6"/>
        <v>666.90053411276313</v>
      </c>
      <c r="H55" s="79">
        <f t="shared" si="3"/>
        <v>2.6419513134647445E-2</v>
      </c>
      <c r="I55" s="66">
        <f t="shared" si="4"/>
        <v>153248.0295569278</v>
      </c>
    </row>
    <row r="56" spans="1:9" x14ac:dyDescent="0.45">
      <c r="A56" s="1">
        <v>44</v>
      </c>
      <c r="B56" s="73">
        <f t="shared" si="0"/>
        <v>45930</v>
      </c>
      <c r="C56" s="74">
        <f t="shared" si="5"/>
        <v>30</v>
      </c>
      <c r="D56" s="74">
        <f>SUM(C$13:C56)</f>
        <v>1338</v>
      </c>
      <c r="E56" s="75">
        <f t="shared" si="1"/>
        <v>21.135610507717956</v>
      </c>
      <c r="F56" s="76">
        <f t="shared" si="2"/>
        <v>20.437953324139151</v>
      </c>
      <c r="G56" s="79">
        <f t="shared" si="6"/>
        <v>623.50979049003217</v>
      </c>
      <c r="H56" s="79">
        <f t="shared" si="3"/>
        <v>2.554744165517394E-2</v>
      </c>
      <c r="I56" s="66">
        <f t="shared" si="4"/>
        <v>153871.53934741783</v>
      </c>
    </row>
    <row r="57" spans="1:9" x14ac:dyDescent="0.45">
      <c r="A57" s="1">
        <v>45</v>
      </c>
      <c r="B57" s="73">
        <f t="shared" si="0"/>
        <v>45961</v>
      </c>
      <c r="C57" s="74">
        <f t="shared" si="5"/>
        <v>31</v>
      </c>
      <c r="D57" s="74">
        <f>SUM(C$13:C57)</f>
        <v>1369</v>
      </c>
      <c r="E57" s="75">
        <f t="shared" si="1"/>
        <v>20.437953324139151</v>
      </c>
      <c r="F57" s="76">
        <f t="shared" si="2"/>
        <v>19.754966935722599</v>
      </c>
      <c r="G57" s="79">
        <f t="shared" si="6"/>
        <v>622.89431614504429</v>
      </c>
      <c r="H57" s="79">
        <f t="shared" si="3"/>
        <v>2.4693708669653248E-2</v>
      </c>
      <c r="I57" s="66">
        <f t="shared" si="4"/>
        <v>154494.43366356287</v>
      </c>
    </row>
    <row r="58" spans="1:9" x14ac:dyDescent="0.45">
      <c r="A58" s="1">
        <v>46</v>
      </c>
      <c r="B58" s="73">
        <f t="shared" si="0"/>
        <v>45991</v>
      </c>
      <c r="C58" s="74">
        <f t="shared" si="5"/>
        <v>30</v>
      </c>
      <c r="D58" s="74">
        <f>SUM(C$13:C58)</f>
        <v>1399</v>
      </c>
      <c r="E58" s="75">
        <f t="shared" si="1"/>
        <v>19.754966935722599</v>
      </c>
      <c r="F58" s="76">
        <f t="shared" si="2"/>
        <v>19.128124679972906</v>
      </c>
      <c r="G58" s="79">
        <f t="shared" si="6"/>
        <v>583.16552552068606</v>
      </c>
      <c r="H58" s="79">
        <f t="shared" si="3"/>
        <v>2.3910155849966131E-2</v>
      </c>
      <c r="I58" s="66">
        <f t="shared" si="4"/>
        <v>155077.59918908356</v>
      </c>
    </row>
    <row r="59" spans="1:9" x14ac:dyDescent="0.45">
      <c r="A59" s="1">
        <v>47</v>
      </c>
      <c r="B59" s="73">
        <f t="shared" si="0"/>
        <v>46022</v>
      </c>
      <c r="C59" s="74">
        <f t="shared" si="5"/>
        <v>31</v>
      </c>
      <c r="D59" s="74">
        <f>SUM(C$13:C59)</f>
        <v>1430</v>
      </c>
      <c r="E59" s="75">
        <f t="shared" si="1"/>
        <v>19.128124679972906</v>
      </c>
      <c r="F59" s="76">
        <f t="shared" si="2"/>
        <v>18.513170684900505</v>
      </c>
      <c r="G59" s="79">
        <f t="shared" si="6"/>
        <v>583.35702057965682</v>
      </c>
      <c r="H59" s="79">
        <f t="shared" si="3"/>
        <v>2.314146335612563E-2</v>
      </c>
      <c r="I59" s="66">
        <f t="shared" si="4"/>
        <v>155660.95620966321</v>
      </c>
    </row>
    <row r="60" spans="1:9" x14ac:dyDescent="0.45">
      <c r="A60" s="1">
        <v>48</v>
      </c>
      <c r="B60" s="73">
        <f t="shared" si="0"/>
        <v>46053</v>
      </c>
      <c r="C60" s="74">
        <f t="shared" si="5"/>
        <v>31</v>
      </c>
      <c r="D60" s="74">
        <f>SUM(C$13:C60)</f>
        <v>1461</v>
      </c>
      <c r="E60" s="75">
        <f t="shared" si="1"/>
        <v>18.513170684900505</v>
      </c>
      <c r="F60" s="76">
        <f t="shared" si="2"/>
        <v>17.929249895943723</v>
      </c>
      <c r="G60" s="79">
        <f t="shared" si="6"/>
        <v>564.78016939008376</v>
      </c>
      <c r="H60" s="79">
        <f t="shared" si="3"/>
        <v>2.2411562369929652E-2</v>
      </c>
      <c r="I60" s="66">
        <f t="shared" si="4"/>
        <v>156225.7363790533</v>
      </c>
    </row>
    <row r="61" spans="1:9" x14ac:dyDescent="0.45">
      <c r="A61" s="1">
        <v>49</v>
      </c>
      <c r="B61" s="73">
        <f t="shared" si="0"/>
        <v>46081</v>
      </c>
      <c r="C61" s="74">
        <f t="shared" si="5"/>
        <v>28</v>
      </c>
      <c r="D61" s="74">
        <f>SUM(C$13:C61)</f>
        <v>1489</v>
      </c>
      <c r="E61" s="75">
        <f t="shared" si="1"/>
        <v>17.929249895943723</v>
      </c>
      <c r="F61" s="76">
        <f t="shared" si="2"/>
        <v>17.426749729992313</v>
      </c>
      <c r="G61" s="79">
        <f t="shared" si="6"/>
        <v>494.93066651071422</v>
      </c>
      <c r="H61" s="79">
        <f t="shared" si="3"/>
        <v>2.1783437162490392E-2</v>
      </c>
      <c r="I61" s="66">
        <f t="shared" si="4"/>
        <v>156720.66704556401</v>
      </c>
    </row>
    <row r="62" spans="1:9" x14ac:dyDescent="0.45">
      <c r="A62" s="1">
        <v>50</v>
      </c>
      <c r="B62" s="73">
        <f t="shared" si="0"/>
        <v>46112</v>
      </c>
      <c r="C62" s="74">
        <f t="shared" si="5"/>
        <v>31</v>
      </c>
      <c r="D62" s="74">
        <f>SUM(C$13:C62)</f>
        <v>1520</v>
      </c>
      <c r="E62" s="75">
        <f t="shared" si="1"/>
        <v>17.426749729992313</v>
      </c>
      <c r="F62" s="76">
        <f t="shared" si="2"/>
        <v>16.896203548101937</v>
      </c>
      <c r="G62" s="79">
        <f t="shared" si="6"/>
        <v>531.93797773797996</v>
      </c>
      <c r="H62" s="79">
        <f t="shared" si="3"/>
        <v>2.1120254435127422E-2</v>
      </c>
      <c r="I62" s="66">
        <f t="shared" si="4"/>
        <v>157252.60502330199</v>
      </c>
    </row>
    <row r="63" spans="1:9" x14ac:dyDescent="0.45">
      <c r="A63" s="1">
        <v>51</v>
      </c>
      <c r="B63" s="73">
        <f t="shared" si="0"/>
        <v>46142</v>
      </c>
      <c r="C63" s="74">
        <f t="shared" si="5"/>
        <v>30</v>
      </c>
      <c r="D63" s="74">
        <f>SUM(C$13:C63)</f>
        <v>1550</v>
      </c>
      <c r="E63" s="75">
        <f t="shared" si="1"/>
        <v>16.896203548101937</v>
      </c>
      <c r="F63" s="76">
        <f t="shared" si="2"/>
        <v>16.40695344644827</v>
      </c>
      <c r="G63" s="79">
        <f t="shared" si="6"/>
        <v>499.48985209362581</v>
      </c>
      <c r="H63" s="79">
        <f t="shared" si="3"/>
        <v>2.0508691808060336E-2</v>
      </c>
      <c r="I63" s="66">
        <f t="shared" si="4"/>
        <v>157752.09487539562</v>
      </c>
    </row>
    <row r="64" spans="1:9" x14ac:dyDescent="0.45">
      <c r="A64" s="1">
        <v>52</v>
      </c>
      <c r="B64" s="73">
        <f t="shared" si="0"/>
        <v>46173</v>
      </c>
      <c r="C64" s="74">
        <f t="shared" si="5"/>
        <v>31</v>
      </c>
      <c r="D64" s="74">
        <f>SUM(C$13:C64)</f>
        <v>1581</v>
      </c>
      <c r="E64" s="75">
        <f t="shared" si="1"/>
        <v>16.40695344644827</v>
      </c>
      <c r="F64" s="76">
        <f t="shared" si="2"/>
        <v>15.92478452494027</v>
      </c>
      <c r="G64" s="79">
        <f t="shared" si="6"/>
        <v>501.08249247336062</v>
      </c>
      <c r="H64" s="79">
        <f t="shared" si="3"/>
        <v>1.9905980656175336E-2</v>
      </c>
      <c r="I64" s="66">
        <f t="shared" si="4"/>
        <v>158253.17736786898</v>
      </c>
    </row>
    <row r="65" spans="1:9" x14ac:dyDescent="0.45">
      <c r="A65" s="1">
        <v>53</v>
      </c>
      <c r="B65" s="73">
        <f t="shared" si="0"/>
        <v>46203</v>
      </c>
      <c r="C65" s="74">
        <f t="shared" si="5"/>
        <v>30</v>
      </c>
      <c r="D65" s="74">
        <f>SUM(C$13:C65)</f>
        <v>1611</v>
      </c>
      <c r="E65" s="75">
        <f t="shared" si="1"/>
        <v>15.92478452494027</v>
      </c>
      <c r="F65" s="76">
        <f t="shared" si="2"/>
        <v>15.479396382724083</v>
      </c>
      <c r="G65" s="79">
        <f t="shared" si="6"/>
        <v>471.01217759717838</v>
      </c>
      <c r="H65" s="79">
        <f t="shared" si="3"/>
        <v>1.9349245478405105E-2</v>
      </c>
      <c r="I65" s="66">
        <f t="shared" si="4"/>
        <v>158724.18954546616</v>
      </c>
    </row>
    <row r="66" spans="1:9" x14ac:dyDescent="0.45">
      <c r="A66" s="1">
        <v>54</v>
      </c>
      <c r="B66" s="73">
        <f t="shared" si="0"/>
        <v>46234</v>
      </c>
      <c r="C66" s="74">
        <f t="shared" si="5"/>
        <v>31</v>
      </c>
      <c r="D66" s="74">
        <f>SUM(C$13:C66)</f>
        <v>1642</v>
      </c>
      <c r="E66" s="75">
        <f t="shared" si="1"/>
        <v>15.479396382724083</v>
      </c>
      <c r="F66" s="76">
        <f t="shared" si="2"/>
        <v>15.039740579559796</v>
      </c>
      <c r="G66" s="79">
        <f t="shared" si="6"/>
        <v>472.99426218803274</v>
      </c>
      <c r="H66" s="79">
        <f t="shared" si="3"/>
        <v>1.8799675724449745E-2</v>
      </c>
      <c r="I66" s="66">
        <f t="shared" si="4"/>
        <v>159197.18380765419</v>
      </c>
    </row>
    <row r="67" spans="1:9" x14ac:dyDescent="0.45">
      <c r="A67" s="1">
        <v>55</v>
      </c>
      <c r="B67" s="73">
        <f t="shared" si="0"/>
        <v>46265</v>
      </c>
      <c r="C67" s="74">
        <f t="shared" si="5"/>
        <v>31</v>
      </c>
      <c r="D67" s="74">
        <f>SUM(C$13:C67)</f>
        <v>1673</v>
      </c>
      <c r="E67" s="75">
        <f t="shared" si="1"/>
        <v>15.039740579559796</v>
      </c>
      <c r="F67" s="76">
        <f t="shared" si="2"/>
        <v>14.619729507903338</v>
      </c>
      <c r="G67" s="79">
        <f t="shared" si="6"/>
        <v>459.67261528645759</v>
      </c>
      <c r="H67" s="79">
        <f t="shared" si="3"/>
        <v>1.8274661884879174E-2</v>
      </c>
      <c r="I67" s="66">
        <f t="shared" si="4"/>
        <v>159656.85642294065</v>
      </c>
    </row>
    <row r="68" spans="1:9" x14ac:dyDescent="0.45">
      <c r="A68" s="1">
        <v>56</v>
      </c>
      <c r="B68" s="73">
        <f t="shared" si="0"/>
        <v>46295</v>
      </c>
      <c r="C68" s="74">
        <f t="shared" si="5"/>
        <v>30</v>
      </c>
      <c r="D68" s="74">
        <f>SUM(C$13:C68)</f>
        <v>1703</v>
      </c>
      <c r="E68" s="75">
        <f t="shared" si="1"/>
        <v>14.619729507903338</v>
      </c>
      <c r="F68" s="76">
        <f t="shared" si="2"/>
        <v>14.230852835468614</v>
      </c>
      <c r="G68" s="79">
        <f t="shared" si="6"/>
        <v>432.71679998756736</v>
      </c>
      <c r="H68" s="79">
        <f t="shared" si="3"/>
        <v>1.7788566044335766E-2</v>
      </c>
      <c r="I68" s="66">
        <f t="shared" si="4"/>
        <v>160089.57322292821</v>
      </c>
    </row>
    <row r="69" spans="1:9" x14ac:dyDescent="0.45">
      <c r="A69" s="1">
        <v>57</v>
      </c>
      <c r="B69" s="73">
        <f t="shared" si="0"/>
        <v>46326</v>
      </c>
      <c r="C69" s="74">
        <f t="shared" si="5"/>
        <v>31</v>
      </c>
      <c r="D69" s="74">
        <f>SUM(C$13:C69)</f>
        <v>1734</v>
      </c>
      <c r="E69" s="75">
        <f t="shared" si="1"/>
        <v>14.230852835468614</v>
      </c>
      <c r="F69" s="76">
        <f t="shared" si="2"/>
        <v>13.846116219123285</v>
      </c>
      <c r="G69" s="79">
        <f t="shared" si="6"/>
        <v>435.149436351232</v>
      </c>
      <c r="H69" s="79">
        <f t="shared" si="3"/>
        <v>1.7307645273904108E-2</v>
      </c>
      <c r="I69" s="66">
        <f t="shared" si="4"/>
        <v>160524.72265927945</v>
      </c>
    </row>
    <row r="70" spans="1:9" x14ac:dyDescent="0.45">
      <c r="A70" s="1">
        <v>58</v>
      </c>
      <c r="B70" s="73">
        <f t="shared" si="0"/>
        <v>46356</v>
      </c>
      <c r="C70" s="74">
        <f t="shared" si="5"/>
        <v>30</v>
      </c>
      <c r="D70" s="74">
        <f>SUM(C$13:C70)</f>
        <v>1764</v>
      </c>
      <c r="E70" s="75">
        <f t="shared" si="1"/>
        <v>13.846116219123285</v>
      </c>
      <c r="F70" s="76">
        <f t="shared" si="2"/>
        <v>13.48939293725512</v>
      </c>
      <c r="G70" s="79">
        <f t="shared" si="6"/>
        <v>409.99539442965761</v>
      </c>
      <c r="H70" s="79">
        <f t="shared" si="3"/>
        <v>1.6861741171568901E-2</v>
      </c>
      <c r="I70" s="66">
        <f t="shared" si="4"/>
        <v>160934.7180537091</v>
      </c>
    </row>
    <row r="71" spans="1:9" x14ac:dyDescent="0.45">
      <c r="A71" s="1">
        <v>59</v>
      </c>
      <c r="B71" s="73">
        <f t="shared" si="0"/>
        <v>46387</v>
      </c>
      <c r="C71" s="74">
        <f t="shared" si="5"/>
        <v>31</v>
      </c>
      <c r="D71" s="74">
        <f>SUM(C$13:C71)</f>
        <v>1795</v>
      </c>
      <c r="E71" s="75">
        <f t="shared" si="1"/>
        <v>13.48939293725512</v>
      </c>
      <c r="F71" s="76">
        <f t="shared" si="2"/>
        <v>13.13598212853949</v>
      </c>
      <c r="G71" s="79">
        <f t="shared" si="6"/>
        <v>412.65453306335257</v>
      </c>
      <c r="H71" s="79">
        <f t="shared" si="3"/>
        <v>1.6419977660674365E-2</v>
      </c>
      <c r="I71" s="66">
        <f t="shared" si="4"/>
        <v>161347.37258677246</v>
      </c>
    </row>
    <row r="72" spans="1:9" x14ac:dyDescent="0.45">
      <c r="A72" s="1">
        <v>60</v>
      </c>
      <c r="B72" s="73">
        <f t="shared" si="0"/>
        <v>46418</v>
      </c>
      <c r="C72" s="74">
        <f t="shared" si="5"/>
        <v>31</v>
      </c>
      <c r="D72" s="74">
        <f>SUM(C$13:C72)</f>
        <v>1826</v>
      </c>
      <c r="E72" s="75">
        <f t="shared" si="1"/>
        <v>13.13598212853949</v>
      </c>
      <c r="F72" s="76">
        <f t="shared" si="2"/>
        <v>12.797156361223234</v>
      </c>
      <c r="G72" s="79">
        <f t="shared" si="6"/>
        <v>401.92704953122302</v>
      </c>
      <c r="H72" s="79">
        <f t="shared" si="3"/>
        <v>1.5996445451529041E-2</v>
      </c>
      <c r="I72" s="66">
        <f t="shared" si="4"/>
        <v>161749.29963630368</v>
      </c>
    </row>
    <row r="73" spans="1:9" x14ac:dyDescent="0.45">
      <c r="A73" s="1">
        <v>61</v>
      </c>
      <c r="B73" s="73">
        <f t="shared" si="0"/>
        <v>46446</v>
      </c>
      <c r="C73" s="74">
        <f t="shared" si="5"/>
        <v>28</v>
      </c>
      <c r="D73" s="74">
        <f>SUM(C$13:C73)</f>
        <v>1854</v>
      </c>
      <c r="E73" s="75">
        <f t="shared" si="1"/>
        <v>12.797156361223234</v>
      </c>
      <c r="F73" s="76">
        <f t="shared" si="2"/>
        <v>12.502977246592064</v>
      </c>
      <c r="G73" s="79">
        <f t="shared" si="6"/>
        <v>354.17632927568047</v>
      </c>
      <c r="H73" s="79">
        <f t="shared" si="3"/>
        <v>1.5628721558240081E-2</v>
      </c>
      <c r="I73" s="66">
        <f t="shared" si="4"/>
        <v>162103.47596557936</v>
      </c>
    </row>
    <row r="74" spans="1:9" x14ac:dyDescent="0.45">
      <c r="A74" s="1">
        <v>62</v>
      </c>
      <c r="B74" s="73">
        <f t="shared" si="0"/>
        <v>46477</v>
      </c>
      <c r="C74" s="74">
        <f t="shared" si="5"/>
        <v>31</v>
      </c>
      <c r="D74" s="74">
        <f>SUM(C$13:C74)</f>
        <v>1885</v>
      </c>
      <c r="E74" s="75">
        <f t="shared" si="1"/>
        <v>12.502977246592064</v>
      </c>
      <c r="F74" s="76">
        <f t="shared" si="2"/>
        <v>12.189706027645494</v>
      </c>
      <c r="G74" s="79">
        <f t="shared" si="6"/>
        <v>382.70373434151406</v>
      </c>
      <c r="H74" s="79">
        <f t="shared" si="3"/>
        <v>1.5237132534556868E-2</v>
      </c>
      <c r="I74" s="66">
        <f t="shared" si="4"/>
        <v>162486.17969992087</v>
      </c>
    </row>
    <row r="75" spans="1:9" x14ac:dyDescent="0.45">
      <c r="A75" s="1">
        <v>63</v>
      </c>
      <c r="B75" s="73">
        <f t="shared" si="0"/>
        <v>46507</v>
      </c>
      <c r="C75" s="74">
        <f t="shared" si="5"/>
        <v>30</v>
      </c>
      <c r="D75" s="74">
        <f>SUM(C$13:C75)</f>
        <v>1915</v>
      </c>
      <c r="E75" s="75">
        <f t="shared" si="1"/>
        <v>12.189706027645494</v>
      </c>
      <c r="F75" s="76">
        <f t="shared" si="2"/>
        <v>11.898327619982723</v>
      </c>
      <c r="G75" s="79">
        <f t="shared" si="6"/>
        <v>361.29230668299715</v>
      </c>
      <c r="H75" s="79">
        <f t="shared" si="3"/>
        <v>1.4872909524978405E-2</v>
      </c>
      <c r="I75" s="66">
        <f t="shared" si="4"/>
        <v>162847.47200660387</v>
      </c>
    </row>
    <row r="76" spans="1:9" x14ac:dyDescent="0.45">
      <c r="A76" s="1">
        <v>64</v>
      </c>
      <c r="B76" s="73">
        <f t="shared" si="0"/>
        <v>46538</v>
      </c>
      <c r="C76" s="74">
        <f t="shared" si="5"/>
        <v>31</v>
      </c>
      <c r="D76" s="74">
        <f>SUM(C$13:C76)</f>
        <v>1946</v>
      </c>
      <c r="E76" s="75">
        <f t="shared" si="1"/>
        <v>11.898327619982723</v>
      </c>
      <c r="F76" s="76">
        <f t="shared" si="2"/>
        <v>11.608771675631228</v>
      </c>
      <c r="G76" s="79">
        <f t="shared" si="6"/>
        <v>364.33055332067306</v>
      </c>
      <c r="H76" s="79">
        <f t="shared" si="3"/>
        <v>1.4510964594539036E-2</v>
      </c>
      <c r="I76" s="66">
        <f t="shared" si="4"/>
        <v>163211.80255992454</v>
      </c>
    </row>
    <row r="77" spans="1:9" x14ac:dyDescent="0.45">
      <c r="A77" s="1">
        <v>65</v>
      </c>
      <c r="B77" s="73">
        <f t="shared" ref="B77:B140" si="7">EDATE($B$7,A77)-1</f>
        <v>46568</v>
      </c>
      <c r="C77" s="74">
        <f t="shared" si="5"/>
        <v>30</v>
      </c>
      <c r="D77" s="74">
        <f>SUM(C$13:C77)</f>
        <v>1976</v>
      </c>
      <c r="E77" s="75">
        <f t="shared" si="1"/>
        <v>11.608771675631228</v>
      </c>
      <c r="F77" s="76">
        <f t="shared" si="2"/>
        <v>11.339142524031999</v>
      </c>
      <c r="G77" s="79">
        <f t="shared" si="6"/>
        <v>344.19336783653125</v>
      </c>
      <c r="H77" s="79">
        <f t="shared" si="3"/>
        <v>1.4173928155039999E-2</v>
      </c>
      <c r="I77" s="66">
        <f t="shared" si="4"/>
        <v>163555.99592776108</v>
      </c>
    </row>
    <row r="78" spans="1:9" x14ac:dyDescent="0.45">
      <c r="A78" s="1">
        <v>66</v>
      </c>
      <c r="B78" s="73">
        <f t="shared" si="7"/>
        <v>46599</v>
      </c>
      <c r="C78" s="74">
        <f t="shared" si="5"/>
        <v>31</v>
      </c>
      <c r="D78" s="74">
        <f>SUM(C$13:C78)</f>
        <v>2007</v>
      </c>
      <c r="E78" s="75">
        <f t="shared" ref="E78:E141" si="8">$B$2/(1+$B$3*$B$4*(D78-C78))^(1/$B$3)</f>
        <v>11.339142524031999</v>
      </c>
      <c r="F78" s="76">
        <f t="shared" ref="F78:F141" si="9">$B$2/(1+$B$3*$B$4*(D78))^(1/$B$3)</f>
        <v>11.070901680792518</v>
      </c>
      <c r="G78" s="79">
        <f t="shared" si="6"/>
        <v>347.32914201481617</v>
      </c>
      <c r="H78" s="79">
        <f t="shared" ref="H78:H141" si="10">F78/$B$2</f>
        <v>1.3838627100990647E-2</v>
      </c>
      <c r="I78" s="66">
        <f t="shared" ref="I78:I141" si="11">($B$2^$B$3/($B$3-1)/$B$4)*(F78^(1-$B$3)-$B$2^(1-$B$3))</f>
        <v>163903.32506977589</v>
      </c>
    </row>
    <row r="79" spans="1:9" x14ac:dyDescent="0.45">
      <c r="A79" s="1">
        <v>67</v>
      </c>
      <c r="B79" s="73">
        <f t="shared" si="7"/>
        <v>46630</v>
      </c>
      <c r="C79" s="74">
        <f t="shared" ref="C79:C142" si="12">_xlfn.DAYS(B79,B78)</f>
        <v>31</v>
      </c>
      <c r="D79" s="74">
        <f>SUM(C$13:C79)</f>
        <v>2038</v>
      </c>
      <c r="E79" s="75">
        <f t="shared" si="8"/>
        <v>11.070901680792518</v>
      </c>
      <c r="F79" s="76">
        <f t="shared" si="9"/>
        <v>10.812671525930208</v>
      </c>
      <c r="G79" s="79">
        <f t="shared" ref="G79:G142" si="13">I79-I78</f>
        <v>339.17019397282274</v>
      </c>
      <c r="H79" s="79">
        <f t="shared" si="10"/>
        <v>1.351583940741276E-2</v>
      </c>
      <c r="I79" s="66">
        <f t="shared" si="11"/>
        <v>164242.49526374871</v>
      </c>
    </row>
    <row r="80" spans="1:9" x14ac:dyDescent="0.45">
      <c r="A80" s="1">
        <v>68</v>
      </c>
      <c r="B80" s="73">
        <f t="shared" si="7"/>
        <v>46660</v>
      </c>
      <c r="C80" s="74">
        <f t="shared" si="12"/>
        <v>30</v>
      </c>
      <c r="D80" s="74">
        <f>SUM(C$13:C80)</f>
        <v>2068</v>
      </c>
      <c r="E80" s="75">
        <f t="shared" si="8"/>
        <v>10.812671525930208</v>
      </c>
      <c r="F80" s="76">
        <f t="shared" si="9"/>
        <v>10.571825472095073</v>
      </c>
      <c r="G80" s="79">
        <f t="shared" si="13"/>
        <v>320.74575378850568</v>
      </c>
      <c r="H80" s="79">
        <f t="shared" si="10"/>
        <v>1.3214781840118841E-2</v>
      </c>
      <c r="I80" s="66">
        <f t="shared" si="11"/>
        <v>164563.24101753722</v>
      </c>
    </row>
    <row r="81" spans="1:9" x14ac:dyDescent="0.45">
      <c r="A81" s="1">
        <v>69</v>
      </c>
      <c r="B81" s="73">
        <f t="shared" si="7"/>
        <v>46691</v>
      </c>
      <c r="C81" s="74">
        <f t="shared" si="12"/>
        <v>31</v>
      </c>
      <c r="D81" s="74">
        <f>SUM(C$13:C81)</f>
        <v>2099</v>
      </c>
      <c r="E81" s="75">
        <f t="shared" si="8"/>
        <v>10.571825472095073</v>
      </c>
      <c r="F81" s="76">
        <f t="shared" si="9"/>
        <v>10.331844892636838</v>
      </c>
      <c r="G81" s="79">
        <f t="shared" si="13"/>
        <v>323.98411483637756</v>
      </c>
      <c r="H81" s="79">
        <f t="shared" si="10"/>
        <v>1.2914806115796047E-2</v>
      </c>
      <c r="I81" s="66">
        <f t="shared" si="11"/>
        <v>164887.2251323736</v>
      </c>
    </row>
    <row r="82" spans="1:9" x14ac:dyDescent="0.45">
      <c r="A82" s="1">
        <v>70</v>
      </c>
      <c r="B82" s="73">
        <f t="shared" si="7"/>
        <v>46721</v>
      </c>
      <c r="C82" s="74">
        <f t="shared" si="12"/>
        <v>30</v>
      </c>
      <c r="D82" s="74">
        <f>SUM(C$13:C82)</f>
        <v>2129</v>
      </c>
      <c r="E82" s="75">
        <f t="shared" si="8"/>
        <v>10.331844892636838</v>
      </c>
      <c r="F82" s="76">
        <f t="shared" si="9"/>
        <v>10.107797265248438</v>
      </c>
      <c r="G82" s="79">
        <f t="shared" si="13"/>
        <v>306.57498474331805</v>
      </c>
      <c r="H82" s="79">
        <f t="shared" si="10"/>
        <v>1.2634746581560547E-2</v>
      </c>
      <c r="I82" s="66">
        <f t="shared" si="11"/>
        <v>165193.80011711692</v>
      </c>
    </row>
    <row r="83" spans="1:9" x14ac:dyDescent="0.45">
      <c r="A83" s="1">
        <v>71</v>
      </c>
      <c r="B83" s="73">
        <f t="shared" si="7"/>
        <v>46752</v>
      </c>
      <c r="C83" s="74">
        <f t="shared" si="12"/>
        <v>31</v>
      </c>
      <c r="D83" s="74">
        <f>SUM(C$13:C83)</f>
        <v>2160</v>
      </c>
      <c r="E83" s="75">
        <f t="shared" si="8"/>
        <v>10.107797265248438</v>
      </c>
      <c r="F83" s="76">
        <f t="shared" si="9"/>
        <v>9.8843388028162522</v>
      </c>
      <c r="G83" s="79">
        <f t="shared" si="13"/>
        <v>309.85746105425642</v>
      </c>
      <c r="H83" s="79">
        <f t="shared" si="10"/>
        <v>1.2355423503520315E-2</v>
      </c>
      <c r="I83" s="66">
        <f t="shared" si="11"/>
        <v>165503.65757817117</v>
      </c>
    </row>
    <row r="84" spans="1:9" x14ac:dyDescent="0.45">
      <c r="A84" s="1">
        <v>72</v>
      </c>
      <c r="B84" s="73">
        <f t="shared" si="7"/>
        <v>46783</v>
      </c>
      <c r="C84" s="74">
        <f t="shared" si="12"/>
        <v>31</v>
      </c>
      <c r="D84" s="74">
        <f>SUM(C$13:C84)</f>
        <v>2191</v>
      </c>
      <c r="E84" s="75">
        <f t="shared" si="8"/>
        <v>9.8843388028162522</v>
      </c>
      <c r="F84" s="76">
        <f t="shared" si="9"/>
        <v>9.668680977995761</v>
      </c>
      <c r="G84" s="79">
        <f t="shared" si="13"/>
        <v>303.05214314672048</v>
      </c>
      <c r="H84" s="79">
        <f t="shared" si="10"/>
        <v>1.2085851222494701E-2</v>
      </c>
      <c r="I84" s="66">
        <f t="shared" si="11"/>
        <v>165806.70972131789</v>
      </c>
    </row>
    <row r="85" spans="1:9" x14ac:dyDescent="0.45">
      <c r="A85" s="1">
        <v>73</v>
      </c>
      <c r="B85" s="73">
        <f t="shared" si="7"/>
        <v>46812</v>
      </c>
      <c r="C85" s="74">
        <f t="shared" si="12"/>
        <v>29</v>
      </c>
      <c r="D85" s="74">
        <f>SUM(C$13:C85)</f>
        <v>2220</v>
      </c>
      <c r="E85" s="75">
        <f t="shared" si="8"/>
        <v>9.668680977995761</v>
      </c>
      <c r="F85" s="76">
        <f t="shared" si="9"/>
        <v>9.4736708215988497</v>
      </c>
      <c r="G85" s="79">
        <f t="shared" si="13"/>
        <v>277.54873735809815</v>
      </c>
      <c r="H85" s="79">
        <f t="shared" si="10"/>
        <v>1.1842088526998562E-2</v>
      </c>
      <c r="I85" s="66">
        <f t="shared" si="11"/>
        <v>166084.25845867599</v>
      </c>
    </row>
    <row r="86" spans="1:9" x14ac:dyDescent="0.45">
      <c r="A86" s="1">
        <v>74</v>
      </c>
      <c r="B86" s="73">
        <f t="shared" si="7"/>
        <v>46843</v>
      </c>
      <c r="C86" s="74">
        <f t="shared" si="12"/>
        <v>31</v>
      </c>
      <c r="D86" s="74">
        <f>SUM(C$13:C86)</f>
        <v>2251</v>
      </c>
      <c r="E86" s="75">
        <f t="shared" si="8"/>
        <v>9.4736708215988497</v>
      </c>
      <c r="F86" s="76">
        <f t="shared" si="9"/>
        <v>9.2720806055098191</v>
      </c>
      <c r="G86" s="79">
        <f t="shared" si="13"/>
        <v>290.54122544257552</v>
      </c>
      <c r="H86" s="79">
        <f t="shared" si="10"/>
        <v>1.1590100756887274E-2</v>
      </c>
      <c r="I86" s="66">
        <f t="shared" si="11"/>
        <v>166374.79968411857</v>
      </c>
    </row>
    <row r="87" spans="1:9" x14ac:dyDescent="0.45">
      <c r="A87" s="1">
        <v>75</v>
      </c>
      <c r="B87" s="73">
        <f t="shared" si="7"/>
        <v>46873</v>
      </c>
      <c r="C87" s="74">
        <f t="shared" si="12"/>
        <v>30</v>
      </c>
      <c r="D87" s="74">
        <f>SUM(C$13:C87)</f>
        <v>2281</v>
      </c>
      <c r="E87" s="75">
        <f t="shared" si="8"/>
        <v>9.2720806055098191</v>
      </c>
      <c r="F87" s="76">
        <f t="shared" si="9"/>
        <v>9.0834489665172633</v>
      </c>
      <c r="G87" s="79">
        <f t="shared" si="13"/>
        <v>275.3174353132199</v>
      </c>
      <c r="H87" s="79">
        <f t="shared" si="10"/>
        <v>1.1354311208146579E-2</v>
      </c>
      <c r="I87" s="66">
        <f t="shared" si="11"/>
        <v>166650.11711943179</v>
      </c>
    </row>
    <row r="88" spans="1:9" x14ac:dyDescent="0.45">
      <c r="A88" s="1">
        <v>76</v>
      </c>
      <c r="B88" s="73">
        <f t="shared" si="7"/>
        <v>46904</v>
      </c>
      <c r="C88" s="74">
        <f t="shared" si="12"/>
        <v>31</v>
      </c>
      <c r="D88" s="74">
        <f>SUM(C$13:C88)</f>
        <v>2312</v>
      </c>
      <c r="E88" s="75">
        <f t="shared" si="8"/>
        <v>9.0834489665172633</v>
      </c>
      <c r="F88" s="76">
        <f t="shared" si="9"/>
        <v>8.8948990943719419</v>
      </c>
      <c r="G88" s="79">
        <f t="shared" si="13"/>
        <v>278.64804769321927</v>
      </c>
      <c r="H88" s="79">
        <f t="shared" si="10"/>
        <v>1.1118623867964927E-2</v>
      </c>
      <c r="I88" s="66">
        <f t="shared" si="11"/>
        <v>166928.76516712501</v>
      </c>
    </row>
    <row r="89" spans="1:9" x14ac:dyDescent="0.45">
      <c r="A89" s="1">
        <v>77</v>
      </c>
      <c r="B89" s="73">
        <f t="shared" si="7"/>
        <v>46934</v>
      </c>
      <c r="C89" s="74">
        <f t="shared" si="12"/>
        <v>30</v>
      </c>
      <c r="D89" s="74">
        <f>SUM(C$13:C89)</f>
        <v>2342</v>
      </c>
      <c r="E89" s="75">
        <f t="shared" si="8"/>
        <v>8.8948990943719419</v>
      </c>
      <c r="F89" s="76">
        <f t="shared" si="9"/>
        <v>8.7183233214504483</v>
      </c>
      <c r="G89" s="79">
        <f t="shared" si="13"/>
        <v>264.18417425683583</v>
      </c>
      <c r="H89" s="79">
        <f t="shared" si="10"/>
        <v>1.089790415181306E-2</v>
      </c>
      <c r="I89" s="66">
        <f t="shared" si="11"/>
        <v>167192.94934138184</v>
      </c>
    </row>
    <row r="90" spans="1:9" x14ac:dyDescent="0.45">
      <c r="A90" s="1">
        <v>78</v>
      </c>
      <c r="B90" s="73">
        <f t="shared" si="7"/>
        <v>46965</v>
      </c>
      <c r="C90" s="74">
        <f t="shared" si="12"/>
        <v>31</v>
      </c>
      <c r="D90" s="74">
        <f>SUM(C$13:C90)</f>
        <v>2373</v>
      </c>
      <c r="E90" s="75">
        <f t="shared" si="8"/>
        <v>8.7183233214504483</v>
      </c>
      <c r="F90" s="76">
        <f t="shared" si="9"/>
        <v>8.5416814619232682</v>
      </c>
      <c r="G90" s="79">
        <f t="shared" si="13"/>
        <v>267.51512942137197</v>
      </c>
      <c r="H90" s="79">
        <f t="shared" si="10"/>
        <v>1.0677101827404086E-2</v>
      </c>
      <c r="I90" s="66">
        <f t="shared" si="11"/>
        <v>167460.46447080321</v>
      </c>
    </row>
    <row r="91" spans="1:9" x14ac:dyDescent="0.45">
      <c r="A91" s="1">
        <v>79</v>
      </c>
      <c r="B91" s="73">
        <f t="shared" si="7"/>
        <v>46996</v>
      </c>
      <c r="C91" s="74">
        <f t="shared" si="12"/>
        <v>31</v>
      </c>
      <c r="D91" s="74">
        <f>SUM(C$13:C91)</f>
        <v>2404</v>
      </c>
      <c r="E91" s="75">
        <f t="shared" si="8"/>
        <v>8.5416814619232682</v>
      </c>
      <c r="F91" s="76">
        <f t="shared" si="9"/>
        <v>8.3706970830688743</v>
      </c>
      <c r="G91" s="79">
        <f t="shared" si="13"/>
        <v>262.12757688309648</v>
      </c>
      <c r="H91" s="79">
        <f t="shared" si="10"/>
        <v>1.0463371353836093E-2</v>
      </c>
      <c r="I91" s="66">
        <f t="shared" si="11"/>
        <v>167722.59204768631</v>
      </c>
    </row>
    <row r="92" spans="1:9" x14ac:dyDescent="0.45">
      <c r="A92" s="1">
        <v>80</v>
      </c>
      <c r="B92" s="73">
        <f t="shared" si="7"/>
        <v>47026</v>
      </c>
      <c r="C92" s="74">
        <f t="shared" si="12"/>
        <v>30</v>
      </c>
      <c r="D92" s="74">
        <f>SUM(C$13:C92)</f>
        <v>2434</v>
      </c>
      <c r="E92" s="75">
        <f t="shared" si="8"/>
        <v>8.3706970830688743</v>
      </c>
      <c r="F92" s="76">
        <f t="shared" si="9"/>
        <v>8.2103830174445527</v>
      </c>
      <c r="G92" s="79">
        <f t="shared" si="13"/>
        <v>248.70380126236705</v>
      </c>
      <c r="H92" s="79">
        <f t="shared" si="10"/>
        <v>1.0262978771805691E-2</v>
      </c>
      <c r="I92" s="66">
        <f t="shared" si="11"/>
        <v>167971.29584894868</v>
      </c>
    </row>
    <row r="93" spans="1:9" x14ac:dyDescent="0.45">
      <c r="A93" s="1">
        <v>81</v>
      </c>
      <c r="B93" s="73">
        <f t="shared" si="7"/>
        <v>47057</v>
      </c>
      <c r="C93" s="74">
        <f t="shared" si="12"/>
        <v>31</v>
      </c>
      <c r="D93" s="74">
        <f>SUM(C$13:C93)</f>
        <v>2465</v>
      </c>
      <c r="E93" s="75">
        <f t="shared" si="8"/>
        <v>8.2103830174445527</v>
      </c>
      <c r="F93" s="76">
        <f t="shared" si="9"/>
        <v>8.0498249610249282</v>
      </c>
      <c r="G93" s="79">
        <f t="shared" si="13"/>
        <v>252.02011740533635</v>
      </c>
      <c r="H93" s="79">
        <f t="shared" si="10"/>
        <v>1.0062281201281159E-2</v>
      </c>
      <c r="I93" s="66">
        <f t="shared" si="11"/>
        <v>168223.31596635401</v>
      </c>
    </row>
    <row r="94" spans="1:9" x14ac:dyDescent="0.45">
      <c r="A94" s="1">
        <v>82</v>
      </c>
      <c r="B94" s="73">
        <f t="shared" si="7"/>
        <v>47087</v>
      </c>
      <c r="C94" s="74">
        <f t="shared" si="12"/>
        <v>30</v>
      </c>
      <c r="D94" s="74">
        <f>SUM(C$13:C94)</f>
        <v>2495</v>
      </c>
      <c r="E94" s="75">
        <f t="shared" si="8"/>
        <v>8.0498249610249282</v>
      </c>
      <c r="F94" s="76">
        <f t="shared" si="9"/>
        <v>7.8991760557226636</v>
      </c>
      <c r="G94" s="79">
        <f t="shared" si="13"/>
        <v>239.22363117313944</v>
      </c>
      <c r="H94" s="79">
        <f t="shared" si="10"/>
        <v>9.8739700696533293E-3</v>
      </c>
      <c r="I94" s="66">
        <f t="shared" si="11"/>
        <v>168462.53959752715</v>
      </c>
    </row>
    <row r="95" spans="1:9" x14ac:dyDescent="0.45">
      <c r="A95" s="1">
        <v>83</v>
      </c>
      <c r="B95" s="73">
        <f t="shared" si="7"/>
        <v>47118</v>
      </c>
      <c r="C95" s="74">
        <f t="shared" si="12"/>
        <v>31</v>
      </c>
      <c r="D95" s="74">
        <f>SUM(C$13:C95)</f>
        <v>2526</v>
      </c>
      <c r="E95" s="75">
        <f t="shared" si="8"/>
        <v>7.8991760557226636</v>
      </c>
      <c r="F95" s="76">
        <f t="shared" si="9"/>
        <v>7.7481897194987095</v>
      </c>
      <c r="G95" s="79">
        <f t="shared" si="13"/>
        <v>242.52212541745394</v>
      </c>
      <c r="H95" s="79">
        <f t="shared" si="10"/>
        <v>9.6852371493733862E-3</v>
      </c>
      <c r="I95" s="66">
        <f t="shared" si="11"/>
        <v>168705.06172294461</v>
      </c>
    </row>
    <row r="96" spans="1:9" x14ac:dyDescent="0.45">
      <c r="A96" s="1">
        <v>84</v>
      </c>
      <c r="B96" s="73">
        <f t="shared" si="7"/>
        <v>47149</v>
      </c>
      <c r="C96" s="74">
        <f t="shared" si="12"/>
        <v>31</v>
      </c>
      <c r="D96" s="74">
        <f>SUM(C$13:C96)</f>
        <v>2557</v>
      </c>
      <c r="E96" s="75">
        <f t="shared" si="8"/>
        <v>7.7481897194987095</v>
      </c>
      <c r="F96" s="76">
        <f t="shared" si="9"/>
        <v>7.6017685644087321</v>
      </c>
      <c r="G96" s="79">
        <f t="shared" si="13"/>
        <v>237.91280716343317</v>
      </c>
      <c r="H96" s="79">
        <f t="shared" si="10"/>
        <v>9.5022107055109158E-3</v>
      </c>
      <c r="I96" s="66">
        <f t="shared" si="11"/>
        <v>168942.97453010804</v>
      </c>
    </row>
    <row r="97" spans="1:9" x14ac:dyDescent="0.45">
      <c r="A97" s="1">
        <v>85</v>
      </c>
      <c r="B97" s="73">
        <f t="shared" si="7"/>
        <v>47177</v>
      </c>
      <c r="C97" s="74">
        <f t="shared" si="12"/>
        <v>28</v>
      </c>
      <c r="D97" s="74">
        <f>SUM(C$13:C97)</f>
        <v>2585</v>
      </c>
      <c r="E97" s="75">
        <f t="shared" si="8"/>
        <v>7.6017685644087321</v>
      </c>
      <c r="F97" s="76">
        <f t="shared" si="9"/>
        <v>7.4732847728071228</v>
      </c>
      <c r="G97" s="79">
        <f t="shared" si="13"/>
        <v>211.04257013046299</v>
      </c>
      <c r="H97" s="79">
        <f t="shared" si="10"/>
        <v>9.3416059660089042E-3</v>
      </c>
      <c r="I97" s="66">
        <f t="shared" si="11"/>
        <v>169154.0171002385</v>
      </c>
    </row>
    <row r="98" spans="1:9" x14ac:dyDescent="0.45">
      <c r="A98" s="1">
        <v>86</v>
      </c>
      <c r="B98" s="73">
        <f t="shared" si="7"/>
        <v>47208</v>
      </c>
      <c r="C98" s="74">
        <f t="shared" si="12"/>
        <v>31</v>
      </c>
      <c r="D98" s="74">
        <f>SUM(C$13:C98)</f>
        <v>2616</v>
      </c>
      <c r="E98" s="75">
        <f t="shared" si="8"/>
        <v>7.4732847728071228</v>
      </c>
      <c r="F98" s="76">
        <f t="shared" si="9"/>
        <v>7.3350418080163236</v>
      </c>
      <c r="G98" s="79">
        <f t="shared" si="13"/>
        <v>229.51839310125797</v>
      </c>
      <c r="H98" s="79">
        <f t="shared" si="10"/>
        <v>9.1688022600204047E-3</v>
      </c>
      <c r="I98" s="66">
        <f t="shared" si="11"/>
        <v>169383.53549333976</v>
      </c>
    </row>
    <row r="99" spans="1:9" x14ac:dyDescent="0.45">
      <c r="A99" s="1">
        <v>87</v>
      </c>
      <c r="B99" s="73">
        <f t="shared" si="7"/>
        <v>47238</v>
      </c>
      <c r="C99" s="74">
        <f t="shared" si="12"/>
        <v>30</v>
      </c>
      <c r="D99" s="74">
        <f>SUM(C$13:C99)</f>
        <v>2646</v>
      </c>
      <c r="E99" s="75">
        <f t="shared" si="8"/>
        <v>7.3350418080163236</v>
      </c>
      <c r="F99" s="76">
        <f t="shared" si="9"/>
        <v>7.2051129352706003</v>
      </c>
      <c r="G99" s="79">
        <f t="shared" si="13"/>
        <v>218.09303275347338</v>
      </c>
      <c r="H99" s="79">
        <f t="shared" si="10"/>
        <v>9.0063911690882511E-3</v>
      </c>
      <c r="I99" s="66">
        <f t="shared" si="11"/>
        <v>169601.62852609323</v>
      </c>
    </row>
    <row r="100" spans="1:9" x14ac:dyDescent="0.45">
      <c r="A100" s="1">
        <v>88</v>
      </c>
      <c r="B100" s="73">
        <f t="shared" si="7"/>
        <v>47269</v>
      </c>
      <c r="C100" s="74">
        <f t="shared" si="12"/>
        <v>31</v>
      </c>
      <c r="D100" s="74">
        <f>SUM(C$13:C100)</f>
        <v>2677</v>
      </c>
      <c r="E100" s="75">
        <f t="shared" si="8"/>
        <v>7.2051129352706003</v>
      </c>
      <c r="F100" s="76">
        <f t="shared" si="9"/>
        <v>7.0746792974795421</v>
      </c>
      <c r="G100" s="79">
        <f t="shared" si="13"/>
        <v>221.32693050766829</v>
      </c>
      <c r="H100" s="79">
        <f t="shared" si="10"/>
        <v>8.8433491218494267E-3</v>
      </c>
      <c r="I100" s="66">
        <f t="shared" si="11"/>
        <v>169822.9554566009</v>
      </c>
    </row>
    <row r="101" spans="1:9" x14ac:dyDescent="0.45">
      <c r="A101" s="1">
        <v>89</v>
      </c>
      <c r="B101" s="73">
        <f t="shared" si="7"/>
        <v>47299</v>
      </c>
      <c r="C101" s="74">
        <f t="shared" si="12"/>
        <v>30</v>
      </c>
      <c r="D101" s="74">
        <f>SUM(C$13:C101)</f>
        <v>2707</v>
      </c>
      <c r="E101" s="75">
        <f t="shared" si="8"/>
        <v>7.0746792974795421</v>
      </c>
      <c r="F101" s="76">
        <f t="shared" si="9"/>
        <v>6.9520131628732784</v>
      </c>
      <c r="G101" s="79">
        <f t="shared" si="13"/>
        <v>210.39180483372184</v>
      </c>
      <c r="H101" s="79">
        <f t="shared" si="10"/>
        <v>8.6900164535915984E-3</v>
      </c>
      <c r="I101" s="66">
        <f t="shared" si="11"/>
        <v>170033.34726143462</v>
      </c>
    </row>
    <row r="102" spans="1:9" x14ac:dyDescent="0.45">
      <c r="A102" s="1">
        <v>90</v>
      </c>
      <c r="B102" s="73">
        <f t="shared" si="7"/>
        <v>47330</v>
      </c>
      <c r="C102" s="74">
        <f t="shared" si="12"/>
        <v>31</v>
      </c>
      <c r="D102" s="74">
        <f>SUM(C$13:C102)</f>
        <v>2738</v>
      </c>
      <c r="E102" s="75">
        <f t="shared" si="8"/>
        <v>6.9520131628732784</v>
      </c>
      <c r="F102" s="76">
        <f t="shared" si="9"/>
        <v>6.8287948867605337</v>
      </c>
      <c r="G102" s="79">
        <f t="shared" si="13"/>
        <v>213.59341694961768</v>
      </c>
      <c r="H102" s="79">
        <f t="shared" si="10"/>
        <v>8.535993608450667E-3</v>
      </c>
      <c r="I102" s="66">
        <f t="shared" si="11"/>
        <v>170246.94067838424</v>
      </c>
    </row>
    <row r="103" spans="1:9" x14ac:dyDescent="0.45">
      <c r="A103" s="1">
        <v>91</v>
      </c>
      <c r="B103" s="73">
        <f t="shared" si="7"/>
        <v>47361</v>
      </c>
      <c r="C103" s="74">
        <f t="shared" si="12"/>
        <v>31</v>
      </c>
      <c r="D103" s="74">
        <f>SUM(C$13:C103)</f>
        <v>2769</v>
      </c>
      <c r="E103" s="75">
        <f t="shared" si="8"/>
        <v>6.8287948867605337</v>
      </c>
      <c r="F103" s="76">
        <f t="shared" si="9"/>
        <v>6.7090341161236982</v>
      </c>
      <c r="G103" s="79">
        <f t="shared" si="13"/>
        <v>209.82759126494057</v>
      </c>
      <c r="H103" s="79">
        <f t="shared" si="10"/>
        <v>8.3862926451546225E-3</v>
      </c>
      <c r="I103" s="66">
        <f t="shared" si="11"/>
        <v>170456.76826964918</v>
      </c>
    </row>
    <row r="104" spans="1:9" x14ac:dyDescent="0.45">
      <c r="A104" s="1">
        <v>92</v>
      </c>
      <c r="B104" s="73">
        <f t="shared" si="7"/>
        <v>47391</v>
      </c>
      <c r="C104" s="74">
        <f t="shared" si="12"/>
        <v>30</v>
      </c>
      <c r="D104" s="74">
        <f>SUM(C$13:C104)</f>
        <v>2799</v>
      </c>
      <c r="E104" s="75">
        <f t="shared" si="8"/>
        <v>6.7090341161236982</v>
      </c>
      <c r="F104" s="76">
        <f t="shared" si="9"/>
        <v>6.5963042140928376</v>
      </c>
      <c r="G104" s="79">
        <f t="shared" si="13"/>
        <v>199.57243395873229</v>
      </c>
      <c r="H104" s="79">
        <f t="shared" si="10"/>
        <v>8.2453802676160474E-3</v>
      </c>
      <c r="I104" s="66">
        <f t="shared" si="11"/>
        <v>170656.34070360792</v>
      </c>
    </row>
    <row r="105" spans="1:9" x14ac:dyDescent="0.45">
      <c r="A105" s="1">
        <v>93</v>
      </c>
      <c r="B105" s="73">
        <f t="shared" si="7"/>
        <v>47422</v>
      </c>
      <c r="C105" s="74">
        <f t="shared" si="12"/>
        <v>31</v>
      </c>
      <c r="D105" s="74">
        <f>SUM(C$13:C105)</f>
        <v>2830</v>
      </c>
      <c r="E105" s="75">
        <f t="shared" si="8"/>
        <v>6.5963042140928376</v>
      </c>
      <c r="F105" s="76">
        <f t="shared" si="9"/>
        <v>6.4829674537098221</v>
      </c>
      <c r="G105" s="79">
        <f t="shared" si="13"/>
        <v>202.72059196632472</v>
      </c>
      <c r="H105" s="79">
        <f t="shared" si="10"/>
        <v>8.1037093171372771E-3</v>
      </c>
      <c r="I105" s="66">
        <f t="shared" si="11"/>
        <v>170859.06129557424</v>
      </c>
    </row>
    <row r="106" spans="1:9" x14ac:dyDescent="0.45">
      <c r="A106" s="1">
        <v>94</v>
      </c>
      <c r="B106" s="73">
        <f t="shared" si="7"/>
        <v>47452</v>
      </c>
      <c r="C106" s="74">
        <f t="shared" si="12"/>
        <v>30</v>
      </c>
      <c r="D106" s="74">
        <f>SUM(C$13:C106)</f>
        <v>2860</v>
      </c>
      <c r="E106" s="75">
        <f t="shared" si="8"/>
        <v>6.4829674537098221</v>
      </c>
      <c r="F106" s="76">
        <f t="shared" si="9"/>
        <v>6.3762242110391982</v>
      </c>
      <c r="G106" s="79">
        <f t="shared" si="13"/>
        <v>192.88078630770906</v>
      </c>
      <c r="H106" s="79">
        <f t="shared" si="10"/>
        <v>7.970280263798998E-3</v>
      </c>
      <c r="I106" s="66">
        <f t="shared" si="11"/>
        <v>171051.94208188195</v>
      </c>
    </row>
    <row r="107" spans="1:9" x14ac:dyDescent="0.45">
      <c r="A107" s="1">
        <v>95</v>
      </c>
      <c r="B107" s="73">
        <f t="shared" si="7"/>
        <v>47483</v>
      </c>
      <c r="C107" s="74">
        <f t="shared" si="12"/>
        <v>31</v>
      </c>
      <c r="D107" s="74">
        <f>SUM(C$13:C107)</f>
        <v>2891</v>
      </c>
      <c r="E107" s="75">
        <f t="shared" si="8"/>
        <v>6.3762242110391982</v>
      </c>
      <c r="F107" s="76">
        <f t="shared" si="9"/>
        <v>6.2688470188138403</v>
      </c>
      <c r="G107" s="79">
        <f t="shared" si="13"/>
        <v>195.99106632827898</v>
      </c>
      <c r="H107" s="79">
        <f t="shared" si="10"/>
        <v>7.8360587735173005E-3</v>
      </c>
      <c r="I107" s="66">
        <f t="shared" si="11"/>
        <v>171247.93314821023</v>
      </c>
    </row>
    <row r="108" spans="1:9" x14ac:dyDescent="0.45">
      <c r="A108" s="1">
        <v>96</v>
      </c>
      <c r="B108" s="73">
        <f t="shared" si="7"/>
        <v>47514</v>
      </c>
      <c r="C108" s="74">
        <f t="shared" si="12"/>
        <v>31</v>
      </c>
      <c r="D108" s="74">
        <f>SUM(C$13:C108)</f>
        <v>2922</v>
      </c>
      <c r="E108" s="75">
        <f t="shared" si="8"/>
        <v>6.2688470188138403</v>
      </c>
      <c r="F108" s="76">
        <f t="shared" si="9"/>
        <v>6.1643340831790834</v>
      </c>
      <c r="G108" s="79">
        <f t="shared" si="13"/>
        <v>192.70704442099668</v>
      </c>
      <c r="H108" s="79">
        <f t="shared" si="10"/>
        <v>7.7054176039738544E-3</v>
      </c>
      <c r="I108" s="66">
        <f t="shared" si="11"/>
        <v>171440.64019263122</v>
      </c>
    </row>
    <row r="109" spans="1:9" x14ac:dyDescent="0.45">
      <c r="A109" s="1">
        <v>97</v>
      </c>
      <c r="B109" s="73">
        <f t="shared" si="7"/>
        <v>47542</v>
      </c>
      <c r="C109" s="74">
        <f t="shared" si="12"/>
        <v>28</v>
      </c>
      <c r="D109" s="74">
        <f>SUM(C$13:C109)</f>
        <v>2950</v>
      </c>
      <c r="E109" s="75">
        <f t="shared" si="8"/>
        <v>6.1643340831790834</v>
      </c>
      <c r="F109" s="76">
        <f t="shared" si="9"/>
        <v>6.0723105774268955</v>
      </c>
      <c r="G109" s="79">
        <f t="shared" si="13"/>
        <v>171.30785789794754</v>
      </c>
      <c r="H109" s="79">
        <f t="shared" si="10"/>
        <v>7.5903882217836192E-3</v>
      </c>
      <c r="I109" s="66">
        <f t="shared" si="11"/>
        <v>171611.94805052917</v>
      </c>
    </row>
    <row r="110" spans="1:9" x14ac:dyDescent="0.45">
      <c r="A110" s="1">
        <v>98</v>
      </c>
      <c r="B110" s="73">
        <f t="shared" si="7"/>
        <v>47573</v>
      </c>
      <c r="C110" s="74">
        <f t="shared" si="12"/>
        <v>31</v>
      </c>
      <c r="D110" s="74">
        <f>SUM(C$13:C110)</f>
        <v>2981</v>
      </c>
      <c r="E110" s="75">
        <f t="shared" si="8"/>
        <v>6.0723105774268955</v>
      </c>
      <c r="F110" s="76">
        <f t="shared" si="9"/>
        <v>5.9729655708290617</v>
      </c>
      <c r="G110" s="79">
        <f t="shared" si="13"/>
        <v>186.69500680131023</v>
      </c>
      <c r="H110" s="79">
        <f t="shared" si="10"/>
        <v>7.4662069635363267E-3</v>
      </c>
      <c r="I110" s="66">
        <f t="shared" si="11"/>
        <v>171798.64305733048</v>
      </c>
    </row>
    <row r="111" spans="1:9" x14ac:dyDescent="0.45">
      <c r="A111" s="1">
        <v>99</v>
      </c>
      <c r="B111" s="73">
        <f t="shared" si="7"/>
        <v>47603</v>
      </c>
      <c r="C111" s="74">
        <f t="shared" si="12"/>
        <v>30</v>
      </c>
      <c r="D111" s="74">
        <f>SUM(C$13:C111)</f>
        <v>3011</v>
      </c>
      <c r="E111" s="75">
        <f t="shared" si="8"/>
        <v>5.9729655708290617</v>
      </c>
      <c r="F111" s="76">
        <f t="shared" si="9"/>
        <v>5.8792781310682845</v>
      </c>
      <c r="G111" s="79">
        <f t="shared" si="13"/>
        <v>177.77773093245924</v>
      </c>
      <c r="H111" s="79">
        <f t="shared" si="10"/>
        <v>7.3490976638353554E-3</v>
      </c>
      <c r="I111" s="66">
        <f t="shared" si="11"/>
        <v>171976.42078826294</v>
      </c>
    </row>
    <row r="112" spans="1:9" x14ac:dyDescent="0.45">
      <c r="A112" s="1">
        <v>100</v>
      </c>
      <c r="B112" s="73">
        <f t="shared" si="7"/>
        <v>47634</v>
      </c>
      <c r="C112" s="74">
        <f t="shared" si="12"/>
        <v>31</v>
      </c>
      <c r="D112" s="74">
        <f>SUM(C$13:C112)</f>
        <v>3042</v>
      </c>
      <c r="E112" s="75">
        <f t="shared" si="8"/>
        <v>5.8792781310682845</v>
      </c>
      <c r="F112" s="76">
        <f t="shared" si="9"/>
        <v>5.7849138887225138</v>
      </c>
      <c r="G112" s="79">
        <f t="shared" si="13"/>
        <v>180.78866531548556</v>
      </c>
      <c r="H112" s="79">
        <f t="shared" si="10"/>
        <v>7.2311423609031419E-3</v>
      </c>
      <c r="I112" s="66">
        <f t="shared" si="11"/>
        <v>172157.20945357843</v>
      </c>
    </row>
    <row r="113" spans="1:9" x14ac:dyDescent="0.45">
      <c r="A113" s="1">
        <v>101</v>
      </c>
      <c r="B113" s="73">
        <f t="shared" si="7"/>
        <v>47664</v>
      </c>
      <c r="C113" s="74">
        <f t="shared" si="12"/>
        <v>30</v>
      </c>
      <c r="D113" s="74">
        <f>SUM(C$13:C113)</f>
        <v>3072</v>
      </c>
      <c r="E113" s="75">
        <f t="shared" si="8"/>
        <v>5.7849138887225138</v>
      </c>
      <c r="F113" s="76">
        <f t="shared" si="9"/>
        <v>5.6958798197982201</v>
      </c>
      <c r="G113" s="79">
        <f t="shared" si="13"/>
        <v>172.20638184170821</v>
      </c>
      <c r="H113" s="79">
        <f t="shared" si="10"/>
        <v>7.1198497747477748E-3</v>
      </c>
      <c r="I113" s="66">
        <f t="shared" si="11"/>
        <v>172329.41583542014</v>
      </c>
    </row>
    <row r="114" spans="1:9" x14ac:dyDescent="0.45">
      <c r="A114" s="1">
        <v>102</v>
      </c>
      <c r="B114" s="73">
        <f t="shared" si="7"/>
        <v>47695</v>
      </c>
      <c r="C114" s="74">
        <f t="shared" si="12"/>
        <v>31</v>
      </c>
      <c r="D114" s="74">
        <f>SUM(C$13:C114)</f>
        <v>3103</v>
      </c>
      <c r="E114" s="75">
        <f t="shared" si="8"/>
        <v>5.6958798197982201</v>
      </c>
      <c r="F114" s="76">
        <f t="shared" si="9"/>
        <v>5.6061593323810364</v>
      </c>
      <c r="G114" s="79">
        <f t="shared" si="13"/>
        <v>175.17571891698753</v>
      </c>
      <c r="H114" s="79">
        <f t="shared" si="10"/>
        <v>7.007699165476295E-3</v>
      </c>
      <c r="I114" s="66">
        <f t="shared" si="11"/>
        <v>172504.59155433712</v>
      </c>
    </row>
    <row r="115" spans="1:9" x14ac:dyDescent="0.45">
      <c r="A115" s="1">
        <v>103</v>
      </c>
      <c r="B115" s="73">
        <f t="shared" si="7"/>
        <v>47726</v>
      </c>
      <c r="C115" s="74">
        <f t="shared" si="12"/>
        <v>31</v>
      </c>
      <c r="D115" s="74">
        <f>SUM(C$13:C115)</f>
        <v>3134</v>
      </c>
      <c r="E115" s="75">
        <f t="shared" si="8"/>
        <v>5.6061593323810364</v>
      </c>
      <c r="F115" s="76">
        <f t="shared" si="9"/>
        <v>5.5186788810582312</v>
      </c>
      <c r="G115" s="79">
        <f t="shared" si="13"/>
        <v>172.42930554345367</v>
      </c>
      <c r="H115" s="79">
        <f t="shared" si="10"/>
        <v>6.8983486013227888E-3</v>
      </c>
      <c r="I115" s="66">
        <f t="shared" si="11"/>
        <v>172677.02085988058</v>
      </c>
    </row>
    <row r="116" spans="1:9" x14ac:dyDescent="0.45">
      <c r="A116" s="1">
        <v>104</v>
      </c>
      <c r="B116" s="73">
        <f t="shared" si="7"/>
        <v>47756</v>
      </c>
      <c r="C116" s="74">
        <f t="shared" si="12"/>
        <v>30</v>
      </c>
      <c r="D116" s="74">
        <f>SUM(C$13:C116)</f>
        <v>3164</v>
      </c>
      <c r="E116" s="75">
        <f t="shared" si="8"/>
        <v>5.5186788810582312</v>
      </c>
      <c r="F116" s="76">
        <f t="shared" si="9"/>
        <v>5.4360814087339904</v>
      </c>
      <c r="G116" s="79">
        <f t="shared" si="13"/>
        <v>164.31642208428821</v>
      </c>
      <c r="H116" s="79">
        <f t="shared" si="10"/>
        <v>6.7951017609174883E-3</v>
      </c>
      <c r="I116" s="66">
        <f t="shared" si="11"/>
        <v>172841.33728196486</v>
      </c>
    </row>
    <row r="117" spans="1:9" x14ac:dyDescent="0.45">
      <c r="A117" s="1">
        <v>105</v>
      </c>
      <c r="B117" s="73">
        <f t="shared" si="7"/>
        <v>47787</v>
      </c>
      <c r="C117" s="74">
        <f t="shared" si="12"/>
        <v>31</v>
      </c>
      <c r="D117" s="74">
        <f>SUM(C$13:C117)</f>
        <v>3195</v>
      </c>
      <c r="E117" s="75">
        <f t="shared" si="8"/>
        <v>5.4360814087339904</v>
      </c>
      <c r="F117" s="76">
        <f t="shared" si="9"/>
        <v>5.3527893973872542</v>
      </c>
      <c r="G117" s="79">
        <f t="shared" si="13"/>
        <v>167.22218170980341</v>
      </c>
      <c r="H117" s="79">
        <f t="shared" si="10"/>
        <v>6.6909867467340681E-3</v>
      </c>
      <c r="I117" s="66">
        <f t="shared" si="11"/>
        <v>173008.55946367467</v>
      </c>
    </row>
    <row r="118" spans="1:9" x14ac:dyDescent="0.45">
      <c r="A118" s="1">
        <v>106</v>
      </c>
      <c r="B118" s="73">
        <f t="shared" si="7"/>
        <v>47817</v>
      </c>
      <c r="C118" s="74">
        <f t="shared" si="12"/>
        <v>30</v>
      </c>
      <c r="D118" s="74">
        <f>SUM(C$13:C118)</f>
        <v>3225</v>
      </c>
      <c r="E118" s="75">
        <f t="shared" si="8"/>
        <v>5.3527893973872542</v>
      </c>
      <c r="F118" s="76">
        <f t="shared" si="9"/>
        <v>5.2741113876474648</v>
      </c>
      <c r="G118" s="79">
        <f t="shared" si="13"/>
        <v>159.3988516687532</v>
      </c>
      <c r="H118" s="79">
        <f t="shared" si="10"/>
        <v>6.5926392345593311E-3</v>
      </c>
      <c r="I118" s="66">
        <f t="shared" si="11"/>
        <v>173167.95831534342</v>
      </c>
    </row>
    <row r="119" spans="1:9" x14ac:dyDescent="0.45">
      <c r="A119" s="1">
        <v>107</v>
      </c>
      <c r="B119" s="73">
        <f t="shared" si="7"/>
        <v>47848</v>
      </c>
      <c r="C119" s="74">
        <f t="shared" si="12"/>
        <v>31</v>
      </c>
      <c r="D119" s="74">
        <f>SUM(C$13:C119)</f>
        <v>3256</v>
      </c>
      <c r="E119" s="75">
        <f t="shared" si="8"/>
        <v>5.2741113876474648</v>
      </c>
      <c r="F119" s="76">
        <f t="shared" si="9"/>
        <v>5.1947369517845106</v>
      </c>
      <c r="G119" s="79">
        <f t="shared" si="13"/>
        <v>162.26217419482418</v>
      </c>
      <c r="H119" s="79">
        <f t="shared" si="10"/>
        <v>6.4934211897306384E-3</v>
      </c>
      <c r="I119" s="66">
        <f t="shared" si="11"/>
        <v>173330.22048953825</v>
      </c>
    </row>
    <row r="120" spans="1:9" x14ac:dyDescent="0.45">
      <c r="A120" s="1">
        <v>108</v>
      </c>
      <c r="B120" s="73">
        <f t="shared" si="7"/>
        <v>47879</v>
      </c>
      <c r="C120" s="74">
        <f t="shared" si="12"/>
        <v>31</v>
      </c>
      <c r="D120" s="74">
        <f>SUM(C$13:C120)</f>
        <v>3287</v>
      </c>
      <c r="E120" s="75">
        <f t="shared" si="8"/>
        <v>5.1947369517845106</v>
      </c>
      <c r="F120" s="76">
        <f t="shared" si="9"/>
        <v>5.1172567167557368</v>
      </c>
      <c r="G120" s="79">
        <f t="shared" si="13"/>
        <v>159.8310893085436</v>
      </c>
      <c r="H120" s="79">
        <f t="shared" si="10"/>
        <v>6.3965708959446707E-3</v>
      </c>
      <c r="I120" s="66">
        <f t="shared" si="11"/>
        <v>173490.05157884679</v>
      </c>
    </row>
    <row r="121" spans="1:9" x14ac:dyDescent="0.45">
      <c r="A121" s="1">
        <v>109</v>
      </c>
      <c r="B121" s="73">
        <f t="shared" si="7"/>
        <v>47907</v>
      </c>
      <c r="C121" s="74">
        <f t="shared" si="12"/>
        <v>28</v>
      </c>
      <c r="D121" s="74">
        <f>SUM(C$13:C121)</f>
        <v>3315</v>
      </c>
      <c r="E121" s="75">
        <f t="shared" si="8"/>
        <v>5.1172567167557368</v>
      </c>
      <c r="F121" s="76">
        <f t="shared" si="9"/>
        <v>5.0488513824001222</v>
      </c>
      <c r="G121" s="79">
        <f t="shared" si="13"/>
        <v>142.32207656846731</v>
      </c>
      <c r="H121" s="79">
        <f t="shared" si="10"/>
        <v>6.3110642280001525E-3</v>
      </c>
      <c r="I121" s="66">
        <f t="shared" si="11"/>
        <v>173632.37365541526</v>
      </c>
    </row>
    <row r="122" spans="1:9" x14ac:dyDescent="0.45">
      <c r="A122" s="1">
        <v>110</v>
      </c>
      <c r="B122" s="73">
        <f t="shared" si="7"/>
        <v>47938</v>
      </c>
      <c r="C122" s="74">
        <f t="shared" si="12"/>
        <v>31</v>
      </c>
      <c r="D122" s="74">
        <f>SUM(C$13:C122)</f>
        <v>3346</v>
      </c>
      <c r="E122" s="75">
        <f t="shared" si="8"/>
        <v>5.0488513824001222</v>
      </c>
      <c r="F122" s="76">
        <f t="shared" si="9"/>
        <v>4.9748081501821098</v>
      </c>
      <c r="G122" s="79">
        <f t="shared" si="13"/>
        <v>155.36220127510023</v>
      </c>
      <c r="H122" s="79">
        <f t="shared" si="10"/>
        <v>6.2185101877276373E-3</v>
      </c>
      <c r="I122" s="66">
        <f t="shared" si="11"/>
        <v>173787.73585669036</v>
      </c>
    </row>
    <row r="123" spans="1:9" x14ac:dyDescent="0.45">
      <c r="A123" s="1">
        <v>111</v>
      </c>
      <c r="B123" s="73">
        <f t="shared" si="7"/>
        <v>47968</v>
      </c>
      <c r="C123" s="74">
        <f t="shared" si="12"/>
        <v>30</v>
      </c>
      <c r="D123" s="74">
        <f>SUM(C$13:C123)</f>
        <v>3376</v>
      </c>
      <c r="E123" s="75">
        <f t="shared" si="8"/>
        <v>4.9748081501821098</v>
      </c>
      <c r="F123" s="76">
        <f t="shared" si="9"/>
        <v>4.9047937681566856</v>
      </c>
      <c r="G123" s="79">
        <f t="shared" si="13"/>
        <v>148.19005932490109</v>
      </c>
      <c r="H123" s="79">
        <f t="shared" si="10"/>
        <v>6.1309922101958573E-3</v>
      </c>
      <c r="I123" s="66">
        <f t="shared" si="11"/>
        <v>173935.92591601526</v>
      </c>
    </row>
    <row r="124" spans="1:9" x14ac:dyDescent="0.45">
      <c r="A124" s="1">
        <v>112</v>
      </c>
      <c r="B124" s="73">
        <f t="shared" si="7"/>
        <v>47999</v>
      </c>
      <c r="C124" s="74">
        <f t="shared" si="12"/>
        <v>31</v>
      </c>
      <c r="D124" s="74">
        <f>SUM(C$13:C124)</f>
        <v>3407</v>
      </c>
      <c r="E124" s="75">
        <f t="shared" si="8"/>
        <v>4.9047937681566856</v>
      </c>
      <c r="F124" s="76">
        <f t="shared" si="9"/>
        <v>4.8340874301093288</v>
      </c>
      <c r="G124" s="79">
        <f t="shared" si="13"/>
        <v>150.94841488360544</v>
      </c>
      <c r="H124" s="79">
        <f t="shared" si="10"/>
        <v>6.042609287636661E-3</v>
      </c>
      <c r="I124" s="66">
        <f t="shared" si="11"/>
        <v>174086.87433089886</v>
      </c>
    </row>
    <row r="125" spans="1:9" x14ac:dyDescent="0.45">
      <c r="A125" s="1">
        <v>113</v>
      </c>
      <c r="B125" s="73">
        <f t="shared" si="7"/>
        <v>48029</v>
      </c>
      <c r="C125" s="74">
        <f t="shared" si="12"/>
        <v>30</v>
      </c>
      <c r="D125" s="74">
        <f>SUM(C$13:C125)</f>
        <v>3437</v>
      </c>
      <c r="E125" s="75">
        <f t="shared" si="8"/>
        <v>4.8340874301093288</v>
      </c>
      <c r="F125" s="76">
        <f t="shared" si="9"/>
        <v>4.7672019343696359</v>
      </c>
      <c r="G125" s="79">
        <f t="shared" si="13"/>
        <v>144.0156128659728</v>
      </c>
      <c r="H125" s="79">
        <f t="shared" si="10"/>
        <v>5.9590024179620449E-3</v>
      </c>
      <c r="I125" s="66">
        <f t="shared" si="11"/>
        <v>174230.88994376484</v>
      </c>
    </row>
    <row r="126" spans="1:9" x14ac:dyDescent="0.45">
      <c r="A126" s="1">
        <v>114</v>
      </c>
      <c r="B126" s="73">
        <f t="shared" si="7"/>
        <v>48060</v>
      </c>
      <c r="C126" s="74">
        <f t="shared" si="12"/>
        <v>31</v>
      </c>
      <c r="D126" s="74">
        <f>SUM(C$13:C126)</f>
        <v>3468</v>
      </c>
      <c r="E126" s="75">
        <f t="shared" si="8"/>
        <v>4.7672019343696359</v>
      </c>
      <c r="F126" s="76">
        <f t="shared" si="9"/>
        <v>4.6996291565640167</v>
      </c>
      <c r="G126" s="79">
        <f t="shared" si="13"/>
        <v>146.73189464805182</v>
      </c>
      <c r="H126" s="79">
        <f t="shared" si="10"/>
        <v>5.8745364457050211E-3</v>
      </c>
      <c r="I126" s="66">
        <f t="shared" si="11"/>
        <v>174377.62183841289</v>
      </c>
    </row>
    <row r="127" spans="1:9" x14ac:dyDescent="0.45">
      <c r="A127" s="1">
        <v>115</v>
      </c>
      <c r="B127" s="73">
        <f t="shared" si="7"/>
        <v>48091</v>
      </c>
      <c r="C127" s="74">
        <f t="shared" si="12"/>
        <v>31</v>
      </c>
      <c r="D127" s="74">
        <f>SUM(C$13:C127)</f>
        <v>3499</v>
      </c>
      <c r="E127" s="75">
        <f t="shared" si="8"/>
        <v>4.6996291565640167</v>
      </c>
      <c r="F127" s="76">
        <f t="shared" si="9"/>
        <v>4.6335759474347462</v>
      </c>
      <c r="G127" s="79">
        <f t="shared" si="13"/>
        <v>144.66081461706199</v>
      </c>
      <c r="H127" s="79">
        <f t="shared" si="10"/>
        <v>5.7919699342934327E-3</v>
      </c>
      <c r="I127" s="66">
        <f t="shared" si="11"/>
        <v>174522.28265302995</v>
      </c>
    </row>
    <row r="128" spans="1:9" x14ac:dyDescent="0.45">
      <c r="A128" s="1">
        <v>116</v>
      </c>
      <c r="B128" s="73">
        <f t="shared" si="7"/>
        <v>48121</v>
      </c>
      <c r="C128" s="74">
        <f t="shared" si="12"/>
        <v>30</v>
      </c>
      <c r="D128" s="74">
        <f>SUM(C$13:C128)</f>
        <v>3529</v>
      </c>
      <c r="E128" s="75">
        <f t="shared" si="8"/>
        <v>4.6335759474347462</v>
      </c>
      <c r="F128" s="76">
        <f t="shared" si="9"/>
        <v>4.5710564189885874</v>
      </c>
      <c r="G128" s="79">
        <f t="shared" si="13"/>
        <v>138.06608830671757</v>
      </c>
      <c r="H128" s="79">
        <f t="shared" si="10"/>
        <v>5.7138205237357341E-3</v>
      </c>
      <c r="I128" s="66">
        <f t="shared" si="11"/>
        <v>174660.34874133667</v>
      </c>
    </row>
    <row r="129" spans="1:9" x14ac:dyDescent="0.45">
      <c r="A129" s="1">
        <v>117</v>
      </c>
      <c r="B129" s="73">
        <f t="shared" si="7"/>
        <v>48152</v>
      </c>
      <c r="C129" s="74">
        <f t="shared" si="12"/>
        <v>31</v>
      </c>
      <c r="D129" s="74">
        <f>SUM(C$13:C129)</f>
        <v>3560</v>
      </c>
      <c r="E129" s="75">
        <f t="shared" si="8"/>
        <v>4.5710564189885874</v>
      </c>
      <c r="F129" s="76">
        <f t="shared" si="9"/>
        <v>4.5078589815021823</v>
      </c>
      <c r="G129" s="79">
        <f t="shared" si="13"/>
        <v>140.71955206600251</v>
      </c>
      <c r="H129" s="79">
        <f t="shared" si="10"/>
        <v>5.6348237268777279E-3</v>
      </c>
      <c r="I129" s="66">
        <f t="shared" si="11"/>
        <v>174801.06829340267</v>
      </c>
    </row>
    <row r="130" spans="1:9" x14ac:dyDescent="0.45">
      <c r="A130" s="1">
        <v>118</v>
      </c>
      <c r="B130" s="73">
        <f t="shared" si="7"/>
        <v>48182</v>
      </c>
      <c r="C130" s="74">
        <f t="shared" si="12"/>
        <v>30</v>
      </c>
      <c r="D130" s="74">
        <f>SUM(C$13:C130)</f>
        <v>3590</v>
      </c>
      <c r="E130" s="75">
        <f t="shared" si="8"/>
        <v>4.5078589815021823</v>
      </c>
      <c r="F130" s="76">
        <f t="shared" si="9"/>
        <v>4.4480207115683212</v>
      </c>
      <c r="G130" s="79">
        <f t="shared" si="13"/>
        <v>134.33499690974713</v>
      </c>
      <c r="H130" s="79">
        <f t="shared" si="10"/>
        <v>5.5600258894604017E-3</v>
      </c>
      <c r="I130" s="66">
        <f t="shared" si="11"/>
        <v>174935.40329031242</v>
      </c>
    </row>
    <row r="131" spans="1:9" x14ac:dyDescent="0.45">
      <c r="A131" s="1">
        <v>119</v>
      </c>
      <c r="B131" s="73">
        <f t="shared" si="7"/>
        <v>48213</v>
      </c>
      <c r="C131" s="74">
        <f t="shared" si="12"/>
        <v>31</v>
      </c>
      <c r="D131" s="74">
        <f>SUM(C$13:C131)</f>
        <v>3621</v>
      </c>
      <c r="E131" s="75">
        <f t="shared" si="8"/>
        <v>4.4480207115683212</v>
      </c>
      <c r="F131" s="76">
        <f t="shared" si="9"/>
        <v>4.3875119912714213</v>
      </c>
      <c r="G131" s="79">
        <f t="shared" si="13"/>
        <v>136.94733127890504</v>
      </c>
      <c r="H131" s="79">
        <f t="shared" si="10"/>
        <v>5.4843899890892767E-3</v>
      </c>
      <c r="I131" s="66">
        <f t="shared" si="11"/>
        <v>175072.35062159132</v>
      </c>
    </row>
    <row r="132" spans="1:9" x14ac:dyDescent="0.45">
      <c r="A132" s="1">
        <v>120</v>
      </c>
      <c r="B132" s="73">
        <f t="shared" si="7"/>
        <v>48244</v>
      </c>
      <c r="C132" s="74">
        <f t="shared" si="12"/>
        <v>31</v>
      </c>
      <c r="D132" s="74">
        <f>SUM(C$13:C132)</f>
        <v>3652</v>
      </c>
      <c r="E132" s="75">
        <f t="shared" si="8"/>
        <v>4.3875119912714213</v>
      </c>
      <c r="F132" s="76">
        <f t="shared" si="9"/>
        <v>4.3283096138038593</v>
      </c>
      <c r="G132" s="79">
        <f t="shared" si="13"/>
        <v>135.09191054006806</v>
      </c>
      <c r="H132" s="79">
        <f t="shared" si="10"/>
        <v>5.4103870172548243E-3</v>
      </c>
      <c r="I132" s="66">
        <f t="shared" si="11"/>
        <v>175207.44253213139</v>
      </c>
    </row>
    <row r="133" spans="1:9" x14ac:dyDescent="0.45">
      <c r="A133" s="1">
        <v>121</v>
      </c>
      <c r="B133" s="73">
        <f t="shared" si="7"/>
        <v>48273</v>
      </c>
      <c r="C133" s="74">
        <f t="shared" si="12"/>
        <v>29</v>
      </c>
      <c r="D133" s="74">
        <f>SUM(C$13:C133)</f>
        <v>3681</v>
      </c>
      <c r="E133" s="75">
        <f t="shared" si="8"/>
        <v>4.3283096138038593</v>
      </c>
      <c r="F133" s="76">
        <f t="shared" si="9"/>
        <v>4.2740752890954425</v>
      </c>
      <c r="G133" s="79">
        <f t="shared" si="13"/>
        <v>124.73193685416481</v>
      </c>
      <c r="H133" s="79">
        <f t="shared" si="10"/>
        <v>5.3425941113693035E-3</v>
      </c>
      <c r="I133" s="66">
        <f t="shared" si="11"/>
        <v>175332.17446898555</v>
      </c>
    </row>
    <row r="134" spans="1:9" x14ac:dyDescent="0.45">
      <c r="A134" s="1">
        <v>122</v>
      </c>
      <c r="B134" s="73">
        <f t="shared" si="7"/>
        <v>48304</v>
      </c>
      <c r="C134" s="74">
        <f t="shared" si="12"/>
        <v>31</v>
      </c>
      <c r="D134" s="74">
        <f>SUM(C$13:C134)</f>
        <v>3712</v>
      </c>
      <c r="E134" s="75">
        <f t="shared" si="8"/>
        <v>4.2740752890954425</v>
      </c>
      <c r="F134" s="76">
        <f t="shared" si="9"/>
        <v>4.2172933064097187</v>
      </c>
      <c r="G134" s="79">
        <f t="shared" si="13"/>
        <v>131.61307432260946</v>
      </c>
      <c r="H134" s="79">
        <f t="shared" si="10"/>
        <v>5.2716166330121486E-3</v>
      </c>
      <c r="I134" s="66">
        <f t="shared" si="11"/>
        <v>175463.78754330816</v>
      </c>
    </row>
    <row r="135" spans="1:9" x14ac:dyDescent="0.45">
      <c r="A135" s="1">
        <v>123</v>
      </c>
      <c r="B135" s="73">
        <f t="shared" si="7"/>
        <v>48334</v>
      </c>
      <c r="C135" s="74">
        <f t="shared" si="12"/>
        <v>30</v>
      </c>
      <c r="D135" s="74">
        <f>SUM(C$13:C135)</f>
        <v>3742</v>
      </c>
      <c r="E135" s="75">
        <f t="shared" si="8"/>
        <v>4.2172933064097187</v>
      </c>
      <c r="F135" s="76">
        <f t="shared" si="9"/>
        <v>4.1634834673471204</v>
      </c>
      <c r="G135" s="79">
        <f t="shared" si="13"/>
        <v>125.70888763555558</v>
      </c>
      <c r="H135" s="79">
        <f t="shared" si="10"/>
        <v>5.2043543341839006E-3</v>
      </c>
      <c r="I135" s="66">
        <f t="shared" si="11"/>
        <v>175589.49643094372</v>
      </c>
    </row>
    <row r="136" spans="1:9" x14ac:dyDescent="0.45">
      <c r="A136" s="1">
        <v>124</v>
      </c>
      <c r="B136" s="73">
        <f t="shared" si="7"/>
        <v>48365</v>
      </c>
      <c r="C136" s="74">
        <f t="shared" si="12"/>
        <v>31</v>
      </c>
      <c r="D136" s="74">
        <f>SUM(C$13:C136)</f>
        <v>3773</v>
      </c>
      <c r="E136" s="75">
        <f t="shared" si="8"/>
        <v>4.1634834673471204</v>
      </c>
      <c r="F136" s="76">
        <f t="shared" si="9"/>
        <v>4.1090249010944495</v>
      </c>
      <c r="G136" s="79">
        <f t="shared" si="13"/>
        <v>128.22091603852459</v>
      </c>
      <c r="H136" s="79">
        <f t="shared" si="10"/>
        <v>5.1362811263680622E-3</v>
      </c>
      <c r="I136" s="66">
        <f t="shared" si="11"/>
        <v>175717.71734698224</v>
      </c>
    </row>
    <row r="137" spans="1:9" x14ac:dyDescent="0.45">
      <c r="A137" s="1">
        <v>125</v>
      </c>
      <c r="B137" s="73">
        <f t="shared" si="7"/>
        <v>48395</v>
      </c>
      <c r="C137" s="74">
        <f t="shared" si="12"/>
        <v>30</v>
      </c>
      <c r="D137" s="74">
        <f>SUM(C$13:C137)</f>
        <v>3803</v>
      </c>
      <c r="E137" s="75">
        <f t="shared" si="8"/>
        <v>4.1090249010944495</v>
      </c>
      <c r="F137" s="76">
        <f t="shared" si="9"/>
        <v>4.057400098891665</v>
      </c>
      <c r="G137" s="79">
        <f t="shared" si="13"/>
        <v>122.49376416721498</v>
      </c>
      <c r="H137" s="79">
        <f t="shared" si="10"/>
        <v>5.0717501236145811E-3</v>
      </c>
      <c r="I137" s="66">
        <f t="shared" si="11"/>
        <v>175840.21111114946</v>
      </c>
    </row>
    <row r="138" spans="1:9" x14ac:dyDescent="0.45">
      <c r="A138" s="1">
        <v>126</v>
      </c>
      <c r="B138" s="73">
        <f t="shared" si="7"/>
        <v>48426</v>
      </c>
      <c r="C138" s="74">
        <f t="shared" si="12"/>
        <v>31</v>
      </c>
      <c r="D138" s="74">
        <f>SUM(C$13:C138)</f>
        <v>3834</v>
      </c>
      <c r="E138" s="75">
        <f t="shared" si="8"/>
        <v>4.057400098891665</v>
      </c>
      <c r="F138" s="76">
        <f t="shared" si="9"/>
        <v>4.0051362067677401</v>
      </c>
      <c r="G138" s="79">
        <f t="shared" si="13"/>
        <v>124.96651203723741</v>
      </c>
      <c r="H138" s="79">
        <f t="shared" si="10"/>
        <v>5.0064202584596748E-3</v>
      </c>
      <c r="I138" s="66">
        <f t="shared" si="11"/>
        <v>175965.1776231867</v>
      </c>
    </row>
    <row r="139" spans="1:9" x14ac:dyDescent="0.45">
      <c r="A139" s="1">
        <v>127</v>
      </c>
      <c r="B139" s="73">
        <f t="shared" si="7"/>
        <v>48457</v>
      </c>
      <c r="C139" s="74">
        <f t="shared" si="12"/>
        <v>31</v>
      </c>
      <c r="D139" s="74">
        <f>SUM(C$13:C139)</f>
        <v>3865</v>
      </c>
      <c r="E139" s="75">
        <f t="shared" si="8"/>
        <v>4.0051362067677401</v>
      </c>
      <c r="F139" s="76">
        <f t="shared" si="9"/>
        <v>3.9539411987223843</v>
      </c>
      <c r="G139" s="79">
        <f t="shared" si="13"/>
        <v>123.36297753956751</v>
      </c>
      <c r="H139" s="79">
        <f t="shared" si="10"/>
        <v>4.9424264984029801E-3</v>
      </c>
      <c r="I139" s="66">
        <f t="shared" si="11"/>
        <v>176088.54060072626</v>
      </c>
    </row>
    <row r="140" spans="1:9" x14ac:dyDescent="0.45">
      <c r="A140" s="1">
        <v>128</v>
      </c>
      <c r="B140" s="73">
        <f t="shared" si="7"/>
        <v>48487</v>
      </c>
      <c r="C140" s="74">
        <f t="shared" si="12"/>
        <v>30</v>
      </c>
      <c r="D140" s="74">
        <f>SUM(C$13:C140)</f>
        <v>3895</v>
      </c>
      <c r="E140" s="75">
        <f t="shared" si="8"/>
        <v>3.9539411987223843</v>
      </c>
      <c r="F140" s="76">
        <f t="shared" si="9"/>
        <v>3.9053872584520621</v>
      </c>
      <c r="G140" s="79">
        <f t="shared" si="13"/>
        <v>117.88752715443843</v>
      </c>
      <c r="H140" s="79">
        <f t="shared" si="10"/>
        <v>4.8817340730650778E-3</v>
      </c>
      <c r="I140" s="66">
        <f t="shared" si="11"/>
        <v>176206.4281278807</v>
      </c>
    </row>
    <row r="141" spans="1:9" x14ac:dyDescent="0.45">
      <c r="A141" s="1">
        <v>129</v>
      </c>
      <c r="B141" s="73">
        <f t="shared" ref="B141:B204" si="14">EDATE($B$7,A141)-1</f>
        <v>48518</v>
      </c>
      <c r="C141" s="74">
        <f t="shared" si="12"/>
        <v>31</v>
      </c>
      <c r="D141" s="74">
        <f>SUM(C$13:C141)</f>
        <v>3926</v>
      </c>
      <c r="E141" s="75">
        <f t="shared" si="8"/>
        <v>3.9053872584520621</v>
      </c>
      <c r="F141" s="76">
        <f t="shared" si="9"/>
        <v>3.8562094313873079</v>
      </c>
      <c r="G141" s="79">
        <f t="shared" si="13"/>
        <v>120.30217283251113</v>
      </c>
      <c r="H141" s="79">
        <f t="shared" si="10"/>
        <v>4.8202617892341348E-3</v>
      </c>
      <c r="I141" s="66">
        <f t="shared" si="11"/>
        <v>176326.73030071321</v>
      </c>
    </row>
    <row r="142" spans="1:9" x14ac:dyDescent="0.45">
      <c r="A142" s="1">
        <v>130</v>
      </c>
      <c r="B142" s="73">
        <f t="shared" si="14"/>
        <v>48548</v>
      </c>
      <c r="C142" s="74">
        <f t="shared" si="12"/>
        <v>30</v>
      </c>
      <c r="D142" s="74">
        <f>SUM(C$13:C142)</f>
        <v>3956</v>
      </c>
      <c r="E142" s="75">
        <f t="shared" ref="E142:E205" si="15">$B$2/(1+$B$3*$B$4*(D142-C142))^(1/$B$3)</f>
        <v>3.8562094313873079</v>
      </c>
      <c r="F142" s="76">
        <f t="shared" ref="F142:F205" si="16">$B$2/(1+$B$3*$B$4*(D142))^(1/$B$3)</f>
        <v>3.8095545780637434</v>
      </c>
      <c r="G142" s="79">
        <f t="shared" si="13"/>
        <v>114.98418854048941</v>
      </c>
      <c r="H142" s="79">
        <f t="shared" ref="H142:H205" si="17">F142/$B$2</f>
        <v>4.7619432225796789E-3</v>
      </c>
      <c r="I142" s="66">
        <f t="shared" ref="I142:I205" si="18">($B$2^$B$3/($B$3-1)/$B$4)*(F142^(1-$B$3)-$B$2^(1-$B$3))</f>
        <v>176441.7144892537</v>
      </c>
    </row>
    <row r="143" spans="1:9" x14ac:dyDescent="0.45">
      <c r="A143" s="1">
        <v>131</v>
      </c>
      <c r="B143" s="73">
        <f t="shared" si="14"/>
        <v>48579</v>
      </c>
      <c r="C143" s="74">
        <f t="shared" ref="C143:C206" si="19">_xlfn.DAYS(B143,B142)</f>
        <v>31</v>
      </c>
      <c r="D143" s="74">
        <f>SUM(C$13:C143)</f>
        <v>3987</v>
      </c>
      <c r="E143" s="75">
        <f t="shared" si="15"/>
        <v>3.8095545780637434</v>
      </c>
      <c r="F143" s="76">
        <f t="shared" si="16"/>
        <v>3.7622862398549466</v>
      </c>
      <c r="G143" s="79">
        <f t="shared" ref="G143:G206" si="20">I143-I142</f>
        <v>117.36109332996421</v>
      </c>
      <c r="H143" s="79">
        <f t="shared" si="17"/>
        <v>4.702857799818683E-3</v>
      </c>
      <c r="I143" s="66">
        <f t="shared" si="18"/>
        <v>176559.07558258367</v>
      </c>
    </row>
    <row r="144" spans="1:9" x14ac:dyDescent="0.45">
      <c r="A144" s="1">
        <v>132</v>
      </c>
      <c r="B144" s="73">
        <f t="shared" si="14"/>
        <v>48610</v>
      </c>
      <c r="C144" s="74">
        <f t="shared" si="19"/>
        <v>31</v>
      </c>
      <c r="D144" s="74">
        <f>SUM(C$13:C144)</f>
        <v>4018</v>
      </c>
      <c r="E144" s="75">
        <f t="shared" si="15"/>
        <v>3.7622862398549466</v>
      </c>
      <c r="F144" s="76">
        <f t="shared" si="16"/>
        <v>3.7159493610165399</v>
      </c>
      <c r="G144" s="79">
        <f t="shared" si="20"/>
        <v>115.91027831539395</v>
      </c>
      <c r="H144" s="79">
        <f t="shared" si="17"/>
        <v>4.6449367012706749E-3</v>
      </c>
      <c r="I144" s="66">
        <f t="shared" si="18"/>
        <v>176674.98586089906</v>
      </c>
    </row>
    <row r="145" spans="1:9" x14ac:dyDescent="0.45">
      <c r="A145" s="1">
        <v>133</v>
      </c>
      <c r="B145" s="73">
        <f t="shared" si="14"/>
        <v>48638</v>
      </c>
      <c r="C145" s="74">
        <f t="shared" si="19"/>
        <v>28</v>
      </c>
      <c r="D145" s="74">
        <f>SUM(C$13:C145)</f>
        <v>4046</v>
      </c>
      <c r="E145" s="75">
        <f t="shared" si="15"/>
        <v>3.7159493610165399</v>
      </c>
      <c r="F145" s="76">
        <f t="shared" si="16"/>
        <v>3.6748764491322308</v>
      </c>
      <c r="G145" s="79">
        <f t="shared" si="20"/>
        <v>103.46985703427345</v>
      </c>
      <c r="H145" s="79">
        <f t="shared" si="17"/>
        <v>4.5935955614152882E-3</v>
      </c>
      <c r="I145" s="66">
        <f t="shared" si="18"/>
        <v>176778.45571793334</v>
      </c>
    </row>
    <row r="146" spans="1:9" x14ac:dyDescent="0.45">
      <c r="A146" s="1">
        <v>134</v>
      </c>
      <c r="B146" s="73">
        <f t="shared" si="14"/>
        <v>48669</v>
      </c>
      <c r="C146" s="74">
        <f t="shared" si="19"/>
        <v>31</v>
      </c>
      <c r="D146" s="74">
        <f>SUM(C$13:C146)</f>
        <v>4077</v>
      </c>
      <c r="E146" s="75">
        <f t="shared" si="15"/>
        <v>3.6748764491322308</v>
      </c>
      <c r="F146" s="76">
        <f t="shared" si="16"/>
        <v>3.6302438413107647</v>
      </c>
      <c r="G146" s="79">
        <f t="shared" si="20"/>
        <v>113.22711020288989</v>
      </c>
      <c r="H146" s="79">
        <f t="shared" si="17"/>
        <v>4.5378048016384556E-3</v>
      </c>
      <c r="I146" s="66">
        <f t="shared" si="18"/>
        <v>176891.68282813622</v>
      </c>
    </row>
    <row r="147" spans="1:9" x14ac:dyDescent="0.45">
      <c r="A147" s="1">
        <v>135</v>
      </c>
      <c r="B147" s="73">
        <f t="shared" si="14"/>
        <v>48699</v>
      </c>
      <c r="C147" s="74">
        <f t="shared" si="19"/>
        <v>30</v>
      </c>
      <c r="D147" s="74">
        <f>SUM(C$13:C147)</f>
        <v>4107</v>
      </c>
      <c r="E147" s="75">
        <f t="shared" si="15"/>
        <v>3.6302438413107647</v>
      </c>
      <c r="F147" s="76">
        <f t="shared" si="16"/>
        <v>3.5878710612716915</v>
      </c>
      <c r="G147" s="79">
        <f t="shared" si="20"/>
        <v>108.26973358148825</v>
      </c>
      <c r="H147" s="79">
        <f t="shared" si="17"/>
        <v>4.4848388265896141E-3</v>
      </c>
      <c r="I147" s="66">
        <f t="shared" si="18"/>
        <v>176999.95256171771</v>
      </c>
    </row>
    <row r="148" spans="1:9" x14ac:dyDescent="0.45">
      <c r="A148" s="1">
        <v>136</v>
      </c>
      <c r="B148" s="73">
        <f t="shared" si="14"/>
        <v>48730</v>
      </c>
      <c r="C148" s="74">
        <f t="shared" si="19"/>
        <v>31</v>
      </c>
      <c r="D148" s="74">
        <f>SUM(C$13:C148)</f>
        <v>4138</v>
      </c>
      <c r="E148" s="75">
        <f t="shared" si="15"/>
        <v>3.5878710612716915</v>
      </c>
      <c r="F148" s="76">
        <f t="shared" si="16"/>
        <v>3.5449111743201169</v>
      </c>
      <c r="G148" s="79">
        <f t="shared" si="20"/>
        <v>110.55598569716676</v>
      </c>
      <c r="H148" s="79">
        <f t="shared" si="17"/>
        <v>4.4311389679001466E-3</v>
      </c>
      <c r="I148" s="66">
        <f t="shared" si="18"/>
        <v>177110.50854741488</v>
      </c>
    </row>
    <row r="149" spans="1:9" x14ac:dyDescent="0.45">
      <c r="A149" s="1">
        <v>137</v>
      </c>
      <c r="B149" s="73">
        <f t="shared" si="14"/>
        <v>48760</v>
      </c>
      <c r="C149" s="74">
        <f t="shared" si="19"/>
        <v>30</v>
      </c>
      <c r="D149" s="74">
        <f>SUM(C$13:C149)</f>
        <v>4168</v>
      </c>
      <c r="E149" s="75">
        <f t="shared" si="15"/>
        <v>3.5449111743201169</v>
      </c>
      <c r="F149" s="76">
        <f t="shared" si="16"/>
        <v>3.5041153404655234</v>
      </c>
      <c r="G149" s="79">
        <f t="shared" si="20"/>
        <v>105.73350887818378</v>
      </c>
      <c r="H149" s="79">
        <f t="shared" si="17"/>
        <v>4.3801441755819039E-3</v>
      </c>
      <c r="I149" s="66">
        <f t="shared" si="18"/>
        <v>177216.24205629306</v>
      </c>
    </row>
    <row r="150" spans="1:9" x14ac:dyDescent="0.45">
      <c r="A150" s="1">
        <v>138</v>
      </c>
      <c r="B150" s="73">
        <f t="shared" si="14"/>
        <v>48791</v>
      </c>
      <c r="C150" s="74">
        <f t="shared" si="19"/>
        <v>31</v>
      </c>
      <c r="D150" s="74">
        <f>SUM(C$13:C150)</f>
        <v>4199</v>
      </c>
      <c r="E150" s="75">
        <f t="shared" si="15"/>
        <v>3.5041153404655234</v>
      </c>
      <c r="F150" s="76">
        <f t="shared" si="16"/>
        <v>3.4627431729048248</v>
      </c>
      <c r="G150" s="79">
        <f t="shared" si="20"/>
        <v>107.98427593958331</v>
      </c>
      <c r="H150" s="79">
        <f t="shared" si="17"/>
        <v>4.3284289661310307E-3</v>
      </c>
      <c r="I150" s="66">
        <f t="shared" si="18"/>
        <v>177324.22633223265</v>
      </c>
    </row>
    <row r="151" spans="1:9" x14ac:dyDescent="0.45">
      <c r="A151" s="1">
        <v>139</v>
      </c>
      <c r="B151" s="73">
        <f t="shared" si="14"/>
        <v>48822</v>
      </c>
      <c r="C151" s="74">
        <f t="shared" si="19"/>
        <v>31</v>
      </c>
      <c r="D151" s="74">
        <f>SUM(C$13:C151)</f>
        <v>4230</v>
      </c>
      <c r="E151" s="75">
        <f t="shared" si="15"/>
        <v>3.4627431729048248</v>
      </c>
      <c r="F151" s="76">
        <f t="shared" si="16"/>
        <v>3.4221470580751792</v>
      </c>
      <c r="G151" s="79">
        <f t="shared" si="20"/>
        <v>106.71381976144039</v>
      </c>
      <c r="H151" s="79">
        <f t="shared" si="17"/>
        <v>4.2776838225939738E-3</v>
      </c>
      <c r="I151" s="66">
        <f t="shared" si="18"/>
        <v>177430.94015199409</v>
      </c>
    </row>
    <row r="152" spans="1:9" x14ac:dyDescent="0.45">
      <c r="A152" s="1">
        <v>140</v>
      </c>
      <c r="B152" s="73">
        <f t="shared" si="14"/>
        <v>48852</v>
      </c>
      <c r="C152" s="74">
        <f t="shared" si="19"/>
        <v>30</v>
      </c>
      <c r="D152" s="74">
        <f>SUM(C$13:C152)</f>
        <v>4260</v>
      </c>
      <c r="E152" s="75">
        <f t="shared" si="15"/>
        <v>3.4221470580751792</v>
      </c>
      <c r="F152" s="76">
        <f t="shared" si="16"/>
        <v>3.3835806747585093</v>
      </c>
      <c r="G152" s="79">
        <f t="shared" si="20"/>
        <v>102.08416760931141</v>
      </c>
      <c r="H152" s="79">
        <f t="shared" si="17"/>
        <v>4.2294758434481368E-3</v>
      </c>
      <c r="I152" s="66">
        <f t="shared" si="18"/>
        <v>177533.0243196034</v>
      </c>
    </row>
    <row r="153" spans="1:9" x14ac:dyDescent="0.45">
      <c r="A153" s="1">
        <v>141</v>
      </c>
      <c r="B153" s="73">
        <f t="shared" si="14"/>
        <v>48883</v>
      </c>
      <c r="C153" s="74">
        <f t="shared" si="19"/>
        <v>31</v>
      </c>
      <c r="D153" s="74">
        <f>SUM(C$13:C153)</f>
        <v>4291</v>
      </c>
      <c r="E153" s="75">
        <f t="shared" si="15"/>
        <v>3.3835806747585093</v>
      </c>
      <c r="F153" s="76">
        <f t="shared" si="16"/>
        <v>3.3444542018696879</v>
      </c>
      <c r="G153" s="79">
        <f t="shared" si="20"/>
        <v>104.2826595948427</v>
      </c>
      <c r="H153" s="79">
        <f t="shared" si="17"/>
        <v>4.1805677523371098E-3</v>
      </c>
      <c r="I153" s="66">
        <f t="shared" si="18"/>
        <v>177637.30697919824</v>
      </c>
    </row>
    <row r="154" spans="1:9" x14ac:dyDescent="0.45">
      <c r="A154" s="1">
        <v>142</v>
      </c>
      <c r="B154" s="73">
        <f t="shared" si="14"/>
        <v>48913</v>
      </c>
      <c r="C154" s="74">
        <f t="shared" si="19"/>
        <v>30</v>
      </c>
      <c r="D154" s="74">
        <f>SUM(C$13:C154)</f>
        <v>4321</v>
      </c>
      <c r="E154" s="75">
        <f t="shared" si="15"/>
        <v>3.3444542018696879</v>
      </c>
      <c r="F154" s="76">
        <f t="shared" si="16"/>
        <v>3.3072745675982578</v>
      </c>
      <c r="G154" s="79">
        <f t="shared" si="20"/>
        <v>99.774269013985759</v>
      </c>
      <c r="H154" s="79">
        <f t="shared" si="17"/>
        <v>4.134093209497822E-3</v>
      </c>
      <c r="I154" s="66">
        <f t="shared" si="18"/>
        <v>177737.08124821223</v>
      </c>
    </row>
    <row r="155" spans="1:9" x14ac:dyDescent="0.45">
      <c r="A155" s="1">
        <v>143</v>
      </c>
      <c r="B155" s="73">
        <f t="shared" si="14"/>
        <v>48944</v>
      </c>
      <c r="C155" s="74">
        <f t="shared" si="19"/>
        <v>31</v>
      </c>
      <c r="D155" s="74">
        <f>SUM(C$13:C155)</f>
        <v>4352</v>
      </c>
      <c r="E155" s="75">
        <f t="shared" si="15"/>
        <v>3.3072745675982578</v>
      </c>
      <c r="F155" s="76">
        <f t="shared" si="16"/>
        <v>3.269545563440047</v>
      </c>
      <c r="G155" s="79">
        <f t="shared" si="20"/>
        <v>101.9389227910433</v>
      </c>
      <c r="H155" s="79">
        <f t="shared" si="17"/>
        <v>4.0869319543000585E-3</v>
      </c>
      <c r="I155" s="66">
        <f t="shared" si="18"/>
        <v>177839.02017100327</v>
      </c>
    </row>
    <row r="156" spans="1:9" x14ac:dyDescent="0.45">
      <c r="A156" s="1">
        <v>144</v>
      </c>
      <c r="B156" s="73">
        <f t="shared" si="14"/>
        <v>48975</v>
      </c>
      <c r="C156" s="74">
        <f t="shared" si="19"/>
        <v>31</v>
      </c>
      <c r="D156" s="74">
        <f>SUM(C$13:C156)</f>
        <v>4383</v>
      </c>
      <c r="E156" s="75">
        <f t="shared" si="15"/>
        <v>3.269545563440047</v>
      </c>
      <c r="F156" s="76">
        <f t="shared" si="16"/>
        <v>3.2325005288824449</v>
      </c>
      <c r="G156" s="79">
        <f t="shared" si="20"/>
        <v>100.77996963838814</v>
      </c>
      <c r="H156" s="79">
        <f t="shared" si="17"/>
        <v>4.0406256611030559E-3</v>
      </c>
      <c r="I156" s="66">
        <f t="shared" si="18"/>
        <v>177939.80014064166</v>
      </c>
    </row>
    <row r="157" spans="1:9" x14ac:dyDescent="0.45">
      <c r="A157" s="1">
        <v>145</v>
      </c>
      <c r="B157" s="73">
        <f t="shared" si="14"/>
        <v>49003</v>
      </c>
      <c r="C157" s="74">
        <f t="shared" si="19"/>
        <v>28</v>
      </c>
      <c r="D157" s="74">
        <f>SUM(C$13:C157)</f>
        <v>4411</v>
      </c>
      <c r="E157" s="75">
        <f t="shared" si="15"/>
        <v>3.2325005288824449</v>
      </c>
      <c r="F157" s="76">
        <f t="shared" si="16"/>
        <v>3.1996142878304945</v>
      </c>
      <c r="G157" s="79">
        <f t="shared" si="20"/>
        <v>90.048351970151998</v>
      </c>
      <c r="H157" s="79">
        <f t="shared" si="17"/>
        <v>3.9995178597881185E-3</v>
      </c>
      <c r="I157" s="66">
        <f t="shared" si="18"/>
        <v>178029.84849261181</v>
      </c>
    </row>
    <row r="158" spans="1:9" x14ac:dyDescent="0.45">
      <c r="A158" s="1">
        <v>146</v>
      </c>
      <c r="B158" s="73">
        <f t="shared" si="14"/>
        <v>49034</v>
      </c>
      <c r="C158" s="74">
        <f t="shared" si="19"/>
        <v>31</v>
      </c>
      <c r="D158" s="74">
        <f>SUM(C$13:C158)</f>
        <v>4442</v>
      </c>
      <c r="E158" s="75">
        <f t="shared" si="15"/>
        <v>3.1996142878304945</v>
      </c>
      <c r="F158" s="76">
        <f t="shared" si="16"/>
        <v>3.1638246590081538</v>
      </c>
      <c r="G158" s="79">
        <f t="shared" si="20"/>
        <v>98.631639664701652</v>
      </c>
      <c r="H158" s="79">
        <f t="shared" si="17"/>
        <v>3.9547808237601926E-3</v>
      </c>
      <c r="I158" s="66">
        <f t="shared" si="18"/>
        <v>178128.48013227651</v>
      </c>
    </row>
    <row r="159" spans="1:9" x14ac:dyDescent="0.45">
      <c r="A159" s="1">
        <v>147</v>
      </c>
      <c r="B159" s="73">
        <f t="shared" si="14"/>
        <v>49064</v>
      </c>
      <c r="C159" s="74">
        <f t="shared" si="19"/>
        <v>30</v>
      </c>
      <c r="D159" s="74">
        <f>SUM(C$13:C159)</f>
        <v>4472</v>
      </c>
      <c r="E159" s="75">
        <f t="shared" si="15"/>
        <v>3.1638246590081538</v>
      </c>
      <c r="F159" s="76">
        <f t="shared" si="16"/>
        <v>3.1297954925850244</v>
      </c>
      <c r="G159" s="79">
        <f t="shared" si="20"/>
        <v>94.402830316801555</v>
      </c>
      <c r="H159" s="79">
        <f t="shared" si="17"/>
        <v>3.9122443657312808E-3</v>
      </c>
      <c r="I159" s="66">
        <f t="shared" si="18"/>
        <v>178222.88296259331</v>
      </c>
    </row>
    <row r="160" spans="1:9" x14ac:dyDescent="0.45">
      <c r="A160" s="1">
        <v>148</v>
      </c>
      <c r="B160" s="73">
        <f t="shared" si="14"/>
        <v>49095</v>
      </c>
      <c r="C160" s="74">
        <f t="shared" si="19"/>
        <v>31</v>
      </c>
      <c r="D160" s="74">
        <f>SUM(C$13:C160)</f>
        <v>4503</v>
      </c>
      <c r="E160" s="75">
        <f t="shared" si="15"/>
        <v>3.1297954925850244</v>
      </c>
      <c r="F160" s="76">
        <f t="shared" si="16"/>
        <v>3.0952431328634527</v>
      </c>
      <c r="G160" s="79">
        <f t="shared" si="20"/>
        <v>96.486513264506357</v>
      </c>
      <c r="H160" s="79">
        <f t="shared" si="17"/>
        <v>3.8690539160793156E-3</v>
      </c>
      <c r="I160" s="66">
        <f t="shared" si="18"/>
        <v>178319.36947585782</v>
      </c>
    </row>
    <row r="161" spans="1:9" x14ac:dyDescent="0.45">
      <c r="A161" s="1">
        <v>149</v>
      </c>
      <c r="B161" s="73">
        <f t="shared" si="14"/>
        <v>49125</v>
      </c>
      <c r="C161" s="74">
        <f t="shared" si="19"/>
        <v>30</v>
      </c>
      <c r="D161" s="74">
        <f>SUM(C$13:C161)</f>
        <v>4533</v>
      </c>
      <c r="E161" s="75">
        <f t="shared" si="15"/>
        <v>3.0952431328634527</v>
      </c>
      <c r="F161" s="76">
        <f t="shared" si="16"/>
        <v>3.062382798505086</v>
      </c>
      <c r="G161" s="79">
        <f t="shared" si="20"/>
        <v>92.362986080464907</v>
      </c>
      <c r="H161" s="79">
        <f t="shared" si="17"/>
        <v>3.8279784981313575E-3</v>
      </c>
      <c r="I161" s="66">
        <f t="shared" si="18"/>
        <v>178411.73246193829</v>
      </c>
    </row>
    <row r="162" spans="1:9" x14ac:dyDescent="0.45">
      <c r="A162" s="1">
        <v>150</v>
      </c>
      <c r="B162" s="73">
        <f t="shared" si="14"/>
        <v>49156</v>
      </c>
      <c r="C162" s="74">
        <f t="shared" si="19"/>
        <v>31</v>
      </c>
      <c r="D162" s="74">
        <f>SUM(C$13:C162)</f>
        <v>4564</v>
      </c>
      <c r="E162" s="75">
        <f t="shared" si="15"/>
        <v>3.062382798505086</v>
      </c>
      <c r="F162" s="76">
        <f t="shared" si="16"/>
        <v>3.0290096486249189</v>
      </c>
      <c r="G162" s="79">
        <f t="shared" si="20"/>
        <v>94.415071419178275</v>
      </c>
      <c r="H162" s="79">
        <f t="shared" si="17"/>
        <v>3.7862620607811487E-3</v>
      </c>
      <c r="I162" s="66">
        <f t="shared" si="18"/>
        <v>178506.14753335746</v>
      </c>
    </row>
    <row r="163" spans="1:9" x14ac:dyDescent="0.45">
      <c r="A163" s="1">
        <v>151</v>
      </c>
      <c r="B163" s="73">
        <f t="shared" si="14"/>
        <v>49187</v>
      </c>
      <c r="C163" s="74">
        <f t="shared" si="19"/>
        <v>31</v>
      </c>
      <c r="D163" s="74">
        <f>SUM(C$13:C163)</f>
        <v>4595</v>
      </c>
      <c r="E163" s="75">
        <f t="shared" si="15"/>
        <v>3.0290096486249189</v>
      </c>
      <c r="F163" s="76">
        <f t="shared" si="16"/>
        <v>2.9962146259729541</v>
      </c>
      <c r="G163" s="79">
        <f t="shared" si="20"/>
        <v>93.389500630612019</v>
      </c>
      <c r="H163" s="79">
        <f t="shared" si="17"/>
        <v>3.7452682824661927E-3</v>
      </c>
      <c r="I163" s="66">
        <f t="shared" si="18"/>
        <v>178599.53703398808</v>
      </c>
    </row>
    <row r="164" spans="1:9" x14ac:dyDescent="0.45">
      <c r="A164" s="1">
        <v>152</v>
      </c>
      <c r="B164" s="73">
        <f t="shared" si="14"/>
        <v>49217</v>
      </c>
      <c r="C164" s="74">
        <f t="shared" si="19"/>
        <v>30</v>
      </c>
      <c r="D164" s="74">
        <f>SUM(C$13:C164)</f>
        <v>4625</v>
      </c>
      <c r="E164" s="75">
        <f t="shared" si="15"/>
        <v>2.9962146259729541</v>
      </c>
      <c r="F164" s="76">
        <f t="shared" si="16"/>
        <v>2.9650150715661141</v>
      </c>
      <c r="G164" s="79">
        <f t="shared" si="20"/>
        <v>89.417139130353462</v>
      </c>
      <c r="H164" s="79">
        <f t="shared" si="17"/>
        <v>3.7062688394576427E-3</v>
      </c>
      <c r="I164" s="66">
        <f t="shared" si="18"/>
        <v>178688.95417311843</v>
      </c>
    </row>
    <row r="165" spans="1:9" x14ac:dyDescent="0.45">
      <c r="A165" s="1">
        <v>153</v>
      </c>
      <c r="B165" s="73">
        <f t="shared" si="14"/>
        <v>49248</v>
      </c>
      <c r="C165" s="74">
        <f t="shared" si="19"/>
        <v>31</v>
      </c>
      <c r="D165" s="74">
        <f>SUM(C$13:C165)</f>
        <v>4656</v>
      </c>
      <c r="E165" s="75">
        <f t="shared" si="15"/>
        <v>2.9650150715661141</v>
      </c>
      <c r="F165" s="76">
        <f t="shared" si="16"/>
        <v>2.9333180910949848</v>
      </c>
      <c r="G165" s="79">
        <f t="shared" si="20"/>
        <v>91.422755900333868</v>
      </c>
      <c r="H165" s="79">
        <f t="shared" si="17"/>
        <v>3.6666476138687309E-3</v>
      </c>
      <c r="I165" s="66">
        <f t="shared" si="18"/>
        <v>178780.37692901876</v>
      </c>
    </row>
    <row r="166" spans="1:9" x14ac:dyDescent="0.45">
      <c r="A166" s="1">
        <v>154</v>
      </c>
      <c r="B166" s="73">
        <f t="shared" si="14"/>
        <v>49278</v>
      </c>
      <c r="C166" s="74">
        <f t="shared" si="19"/>
        <v>30</v>
      </c>
      <c r="D166" s="74">
        <f>SUM(C$13:C166)</f>
        <v>4686</v>
      </c>
      <c r="E166" s="75">
        <f t="shared" si="15"/>
        <v>2.9333180910949848</v>
      </c>
      <c r="F166" s="76">
        <f t="shared" si="16"/>
        <v>2.9031566419739088</v>
      </c>
      <c r="G166" s="79">
        <f t="shared" si="20"/>
        <v>87.545874053030275</v>
      </c>
      <c r="H166" s="79">
        <f t="shared" si="17"/>
        <v>3.6289458024673861E-3</v>
      </c>
      <c r="I166" s="66">
        <f t="shared" si="18"/>
        <v>178867.92280307179</v>
      </c>
    </row>
    <row r="167" spans="1:9" x14ac:dyDescent="0.45">
      <c r="A167" s="1">
        <v>155</v>
      </c>
      <c r="B167" s="73">
        <f t="shared" si="14"/>
        <v>49309</v>
      </c>
      <c r="C167" s="74">
        <f t="shared" si="19"/>
        <v>31</v>
      </c>
      <c r="D167" s="74">
        <f>SUM(C$13:C167)</f>
        <v>4717</v>
      </c>
      <c r="E167" s="75">
        <f t="shared" si="15"/>
        <v>2.9031566419739088</v>
      </c>
      <c r="F167" s="76">
        <f t="shared" si="16"/>
        <v>2.8725077800674907</v>
      </c>
      <c r="G167" s="79">
        <f t="shared" si="20"/>
        <v>89.521454043715494</v>
      </c>
      <c r="H167" s="79">
        <f t="shared" si="17"/>
        <v>3.5906347250843633E-3</v>
      </c>
      <c r="I167" s="66">
        <f t="shared" si="18"/>
        <v>178957.44425711551</v>
      </c>
    </row>
    <row r="168" spans="1:9" x14ac:dyDescent="0.45">
      <c r="A168" s="1">
        <v>156</v>
      </c>
      <c r="B168" s="73">
        <f t="shared" si="14"/>
        <v>49340</v>
      </c>
      <c r="C168" s="74">
        <f t="shared" si="19"/>
        <v>31</v>
      </c>
      <c r="D168" s="74">
        <f>SUM(C$13:C168)</f>
        <v>4748</v>
      </c>
      <c r="E168" s="75">
        <f t="shared" si="15"/>
        <v>2.8725077800674907</v>
      </c>
      <c r="F168" s="76">
        <f t="shared" si="16"/>
        <v>2.8423733584919515</v>
      </c>
      <c r="G168" s="79">
        <f t="shared" si="20"/>
        <v>88.579344081721501</v>
      </c>
      <c r="H168" s="79">
        <f t="shared" si="17"/>
        <v>3.5529666981149394E-3</v>
      </c>
      <c r="I168" s="66">
        <f t="shared" si="18"/>
        <v>179046.02360119723</v>
      </c>
    </row>
    <row r="169" spans="1:9" x14ac:dyDescent="0.45">
      <c r="A169" s="1">
        <v>157</v>
      </c>
      <c r="B169" s="73">
        <f t="shared" si="14"/>
        <v>49368</v>
      </c>
      <c r="C169" s="74">
        <f t="shared" si="19"/>
        <v>28</v>
      </c>
      <c r="D169" s="74">
        <f>SUM(C$13:C169)</f>
        <v>4776</v>
      </c>
      <c r="E169" s="75">
        <f t="shared" si="15"/>
        <v>2.8423733584919515</v>
      </c>
      <c r="F169" s="76">
        <f t="shared" si="16"/>
        <v>2.8155875227019775</v>
      </c>
      <c r="G169" s="79">
        <f t="shared" si="20"/>
        <v>79.210505490220385</v>
      </c>
      <c r="H169" s="79">
        <f t="shared" si="17"/>
        <v>3.5194844033774719E-3</v>
      </c>
      <c r="I169" s="66">
        <f t="shared" si="18"/>
        <v>179125.23410668745</v>
      </c>
    </row>
    <row r="170" spans="1:9" x14ac:dyDescent="0.45">
      <c r="A170" s="1">
        <v>158</v>
      </c>
      <c r="B170" s="73">
        <f t="shared" si="14"/>
        <v>49399</v>
      </c>
      <c r="C170" s="74">
        <f t="shared" si="19"/>
        <v>31</v>
      </c>
      <c r="D170" s="74">
        <f>SUM(C$13:C170)</f>
        <v>4807</v>
      </c>
      <c r="E170" s="75">
        <f t="shared" si="15"/>
        <v>2.8155875227019775</v>
      </c>
      <c r="F170" s="76">
        <f t="shared" si="16"/>
        <v>2.7863998854823691</v>
      </c>
      <c r="G170" s="79">
        <f t="shared" si="20"/>
        <v>86.82954767125193</v>
      </c>
      <c r="H170" s="79">
        <f t="shared" si="17"/>
        <v>3.4829998568529615E-3</v>
      </c>
      <c r="I170" s="66">
        <f t="shared" si="18"/>
        <v>179212.0636543587</v>
      </c>
    </row>
    <row r="171" spans="1:9" x14ac:dyDescent="0.45">
      <c r="A171" s="1">
        <v>159</v>
      </c>
      <c r="B171" s="73">
        <f t="shared" si="14"/>
        <v>49429</v>
      </c>
      <c r="C171" s="74">
        <f t="shared" si="19"/>
        <v>30</v>
      </c>
      <c r="D171" s="74">
        <f>SUM(C$13:C171)</f>
        <v>4837</v>
      </c>
      <c r="E171" s="75">
        <f t="shared" si="15"/>
        <v>2.7863998854823691</v>
      </c>
      <c r="F171" s="76">
        <f t="shared" si="16"/>
        <v>2.7586119887508591</v>
      </c>
      <c r="G171" s="79">
        <f t="shared" si="20"/>
        <v>83.174064071616158</v>
      </c>
      <c r="H171" s="79">
        <f t="shared" si="17"/>
        <v>3.4482649859385738E-3</v>
      </c>
      <c r="I171" s="66">
        <f t="shared" si="18"/>
        <v>179295.23771843032</v>
      </c>
    </row>
    <row r="172" spans="1:9" x14ac:dyDescent="0.45">
      <c r="A172" s="1">
        <v>160</v>
      </c>
      <c r="B172" s="73">
        <f t="shared" si="14"/>
        <v>49460</v>
      </c>
      <c r="C172" s="74">
        <f t="shared" si="19"/>
        <v>31</v>
      </c>
      <c r="D172" s="74">
        <f>SUM(C$13:C172)</f>
        <v>4868</v>
      </c>
      <c r="E172" s="75">
        <f t="shared" si="15"/>
        <v>2.7586119887508591</v>
      </c>
      <c r="F172" s="76">
        <f t="shared" si="16"/>
        <v>2.7303607529274845</v>
      </c>
      <c r="G172" s="79">
        <f t="shared" si="20"/>
        <v>85.077875461225631</v>
      </c>
      <c r="H172" s="79">
        <f t="shared" si="17"/>
        <v>3.4129509411593554E-3</v>
      </c>
      <c r="I172" s="66">
        <f t="shared" si="18"/>
        <v>179380.31559389154</v>
      </c>
    </row>
    <row r="173" spans="1:9" x14ac:dyDescent="0.45">
      <c r="A173" s="1">
        <v>161</v>
      </c>
      <c r="B173" s="73">
        <f t="shared" si="14"/>
        <v>49490</v>
      </c>
      <c r="C173" s="74">
        <f t="shared" si="19"/>
        <v>30</v>
      </c>
      <c r="D173" s="74">
        <f>SUM(C$13:C173)</f>
        <v>4898</v>
      </c>
      <c r="E173" s="75">
        <f t="shared" si="15"/>
        <v>2.7303607529274845</v>
      </c>
      <c r="F173" s="76">
        <f t="shared" si="16"/>
        <v>2.7034590200079767</v>
      </c>
      <c r="G173" s="79">
        <f t="shared" si="20"/>
        <v>81.506231107749045</v>
      </c>
      <c r="H173" s="79">
        <f t="shared" si="17"/>
        <v>3.3793237750099707E-3</v>
      </c>
      <c r="I173" s="66">
        <f t="shared" si="18"/>
        <v>179461.82182499929</v>
      </c>
    </row>
    <row r="174" spans="1:9" x14ac:dyDescent="0.45">
      <c r="A174" s="1">
        <v>162</v>
      </c>
      <c r="B174" s="73">
        <f t="shared" si="14"/>
        <v>49521</v>
      </c>
      <c r="C174" s="74">
        <f t="shared" si="19"/>
        <v>31</v>
      </c>
      <c r="D174" s="74">
        <f>SUM(C$13:C174)</f>
        <v>4929</v>
      </c>
      <c r="E174" s="75">
        <f t="shared" si="15"/>
        <v>2.7034590200079767</v>
      </c>
      <c r="F174" s="76">
        <f t="shared" si="16"/>
        <v>2.6761033699104306</v>
      </c>
      <c r="G174" s="79">
        <f t="shared" si="20"/>
        <v>83.382067090220517</v>
      </c>
      <c r="H174" s="79">
        <f t="shared" si="17"/>
        <v>3.3451292123880382E-3</v>
      </c>
      <c r="I174" s="66">
        <f t="shared" si="18"/>
        <v>179545.20389208951</v>
      </c>
    </row>
    <row r="175" spans="1:9" x14ac:dyDescent="0.45">
      <c r="A175" s="1">
        <v>163</v>
      </c>
      <c r="B175" s="73">
        <f t="shared" si="14"/>
        <v>49552</v>
      </c>
      <c r="C175" s="74">
        <f t="shared" si="19"/>
        <v>31</v>
      </c>
      <c r="D175" s="74">
        <f>SUM(C$13:C175)</f>
        <v>4960</v>
      </c>
      <c r="E175" s="75">
        <f t="shared" si="15"/>
        <v>2.6761033699104306</v>
      </c>
      <c r="F175" s="76">
        <f t="shared" si="16"/>
        <v>2.6491879346262373</v>
      </c>
      <c r="G175" s="79">
        <f t="shared" si="20"/>
        <v>82.540890634612879</v>
      </c>
      <c r="H175" s="79">
        <f t="shared" si="17"/>
        <v>3.3114849182827965E-3</v>
      </c>
      <c r="I175" s="66">
        <f t="shared" si="18"/>
        <v>179627.74478272413</v>
      </c>
    </row>
    <row r="176" spans="1:9" x14ac:dyDescent="0.45">
      <c r="A176" s="1">
        <v>164</v>
      </c>
      <c r="B176" s="73">
        <f t="shared" si="14"/>
        <v>49582</v>
      </c>
      <c r="C176" s="74">
        <f t="shared" si="19"/>
        <v>30</v>
      </c>
      <c r="D176" s="74">
        <f>SUM(C$13:C176)</f>
        <v>4990</v>
      </c>
      <c r="E176" s="75">
        <f t="shared" si="15"/>
        <v>2.6491879346262373</v>
      </c>
      <c r="F176" s="76">
        <f t="shared" si="16"/>
        <v>2.6235507607082731</v>
      </c>
      <c r="G176" s="79">
        <f t="shared" si="20"/>
        <v>79.090083197283093</v>
      </c>
      <c r="H176" s="79">
        <f t="shared" si="17"/>
        <v>3.2794384508853412E-3</v>
      </c>
      <c r="I176" s="66">
        <f t="shared" si="18"/>
        <v>179706.83486592141</v>
      </c>
    </row>
    <row r="177" spans="1:9" x14ac:dyDescent="0.45">
      <c r="A177" s="1">
        <v>165</v>
      </c>
      <c r="B177" s="73">
        <f t="shared" si="14"/>
        <v>49613</v>
      </c>
      <c r="C177" s="74">
        <f t="shared" si="19"/>
        <v>31</v>
      </c>
      <c r="D177" s="74">
        <f>SUM(C$13:C177)</f>
        <v>5021</v>
      </c>
      <c r="E177" s="75">
        <f t="shared" si="15"/>
        <v>2.6235507607082731</v>
      </c>
      <c r="F177" s="76">
        <f t="shared" si="16"/>
        <v>2.5974735377710236</v>
      </c>
      <c r="G177" s="79">
        <f t="shared" si="20"/>
        <v>80.924799913278548</v>
      </c>
      <c r="H177" s="79">
        <f t="shared" si="17"/>
        <v>3.2468419222137796E-3</v>
      </c>
      <c r="I177" s="66">
        <f t="shared" si="18"/>
        <v>179787.75966583469</v>
      </c>
    </row>
    <row r="178" spans="1:9" x14ac:dyDescent="0.45">
      <c r="A178" s="1">
        <v>166</v>
      </c>
      <c r="B178" s="73">
        <f t="shared" si="14"/>
        <v>49643</v>
      </c>
      <c r="C178" s="74">
        <f t="shared" si="19"/>
        <v>30</v>
      </c>
      <c r="D178" s="74">
        <f>SUM(C$13:C178)</f>
        <v>5051</v>
      </c>
      <c r="E178" s="75">
        <f t="shared" si="15"/>
        <v>2.5974735377710236</v>
      </c>
      <c r="F178" s="76">
        <f t="shared" si="16"/>
        <v>2.5726301327711707</v>
      </c>
      <c r="G178" s="79">
        <f t="shared" si="20"/>
        <v>77.550600031652721</v>
      </c>
      <c r="H178" s="79">
        <f t="shared" si="17"/>
        <v>3.2157876659639636E-3</v>
      </c>
      <c r="I178" s="66">
        <f t="shared" si="18"/>
        <v>179865.31026586634</v>
      </c>
    </row>
    <row r="179" spans="1:9" x14ac:dyDescent="0.45">
      <c r="A179" s="1">
        <v>167</v>
      </c>
      <c r="B179" s="73">
        <f t="shared" si="14"/>
        <v>49674</v>
      </c>
      <c r="C179" s="74">
        <f t="shared" si="19"/>
        <v>31</v>
      </c>
      <c r="D179" s="74">
        <f>SUM(C$13:C179)</f>
        <v>5082</v>
      </c>
      <c r="E179" s="75">
        <f t="shared" si="15"/>
        <v>2.5726301327711707</v>
      </c>
      <c r="F179" s="76">
        <f t="shared" si="16"/>
        <v>2.5473556440996439</v>
      </c>
      <c r="G179" s="79">
        <f t="shared" si="20"/>
        <v>79.358748137048678</v>
      </c>
      <c r="H179" s="79">
        <f t="shared" si="17"/>
        <v>3.1841945551245548E-3</v>
      </c>
      <c r="I179" s="66">
        <f t="shared" si="18"/>
        <v>179944.66901400339</v>
      </c>
    </row>
    <row r="180" spans="1:9" x14ac:dyDescent="0.45">
      <c r="A180" s="1">
        <v>168</v>
      </c>
      <c r="B180" s="73">
        <f t="shared" si="14"/>
        <v>49705</v>
      </c>
      <c r="C180" s="74">
        <f t="shared" si="19"/>
        <v>31</v>
      </c>
      <c r="D180" s="74">
        <f>SUM(C$13:C180)</f>
        <v>5113</v>
      </c>
      <c r="E180" s="75">
        <f t="shared" si="15"/>
        <v>2.5473556440996439</v>
      </c>
      <c r="F180" s="76">
        <f t="shared" si="16"/>
        <v>2.5224761162975273</v>
      </c>
      <c r="G180" s="79">
        <f t="shared" si="20"/>
        <v>78.581382978241891</v>
      </c>
      <c r="H180" s="79">
        <f t="shared" si="17"/>
        <v>3.1530951453719092E-3</v>
      </c>
      <c r="I180" s="66">
        <f t="shared" si="18"/>
        <v>180023.25039698163</v>
      </c>
    </row>
    <row r="181" spans="1:9" x14ac:dyDescent="0.45">
      <c r="A181" s="1">
        <v>169</v>
      </c>
      <c r="B181" s="73">
        <f t="shared" si="14"/>
        <v>49734</v>
      </c>
      <c r="C181" s="74">
        <f t="shared" si="19"/>
        <v>29</v>
      </c>
      <c r="D181" s="74">
        <f>SUM(C$13:C181)</f>
        <v>5142</v>
      </c>
      <c r="E181" s="75">
        <f t="shared" si="15"/>
        <v>2.5224761162975273</v>
      </c>
      <c r="F181" s="76">
        <f t="shared" si="16"/>
        <v>2.4995518030186807</v>
      </c>
      <c r="G181" s="79">
        <f t="shared" si="20"/>
        <v>72.818595580523834</v>
      </c>
      <c r="H181" s="79">
        <f t="shared" si="17"/>
        <v>3.1244397537733507E-3</v>
      </c>
      <c r="I181" s="66">
        <f t="shared" si="18"/>
        <v>180096.06899256216</v>
      </c>
    </row>
    <row r="182" spans="1:9" x14ac:dyDescent="0.45">
      <c r="A182" s="1">
        <v>170</v>
      </c>
      <c r="B182" s="73">
        <f t="shared" si="14"/>
        <v>49765</v>
      </c>
      <c r="C182" s="74">
        <f t="shared" si="19"/>
        <v>31</v>
      </c>
      <c r="D182" s="74">
        <f>SUM(C$13:C182)</f>
        <v>5173</v>
      </c>
      <c r="E182" s="75">
        <f t="shared" si="15"/>
        <v>2.4995518030186807</v>
      </c>
      <c r="F182" s="76">
        <f t="shared" si="16"/>
        <v>2.4754129498711115</v>
      </c>
      <c r="G182" s="79">
        <f t="shared" si="20"/>
        <v>77.110985445062397</v>
      </c>
      <c r="H182" s="79">
        <f t="shared" si="17"/>
        <v>3.0942661873388892E-3</v>
      </c>
      <c r="I182" s="66">
        <f t="shared" si="18"/>
        <v>180173.17997800722</v>
      </c>
    </row>
    <row r="183" spans="1:9" x14ac:dyDescent="0.45">
      <c r="A183" s="1">
        <v>171</v>
      </c>
      <c r="B183" s="73">
        <f t="shared" si="14"/>
        <v>49795</v>
      </c>
      <c r="C183" s="74">
        <f t="shared" si="19"/>
        <v>30</v>
      </c>
      <c r="D183" s="74">
        <f>SUM(C$13:C183)</f>
        <v>5203</v>
      </c>
      <c r="E183" s="75">
        <f t="shared" si="15"/>
        <v>2.4754129498711115</v>
      </c>
      <c r="F183" s="76">
        <f t="shared" si="16"/>
        <v>2.4524059343293789</v>
      </c>
      <c r="G183" s="79">
        <f t="shared" si="20"/>
        <v>73.916423936694628</v>
      </c>
      <c r="H183" s="79">
        <f t="shared" si="17"/>
        <v>3.0655074179117238E-3</v>
      </c>
      <c r="I183" s="66">
        <f t="shared" si="18"/>
        <v>180247.09640194391</v>
      </c>
    </row>
    <row r="184" spans="1:9" x14ac:dyDescent="0.45">
      <c r="A184" s="1">
        <v>172</v>
      </c>
      <c r="B184" s="73">
        <f t="shared" si="14"/>
        <v>49826</v>
      </c>
      <c r="C184" s="74">
        <f t="shared" si="19"/>
        <v>31</v>
      </c>
      <c r="D184" s="74">
        <f>SUM(C$13:C184)</f>
        <v>5234</v>
      </c>
      <c r="E184" s="75">
        <f t="shared" si="15"/>
        <v>2.4524059343293789</v>
      </c>
      <c r="F184" s="76">
        <f t="shared" si="16"/>
        <v>2.4289893716118711</v>
      </c>
      <c r="G184" s="79">
        <f t="shared" si="20"/>
        <v>75.660698628198588</v>
      </c>
      <c r="H184" s="79">
        <f t="shared" si="17"/>
        <v>3.0362367145148391E-3</v>
      </c>
      <c r="I184" s="66">
        <f t="shared" si="18"/>
        <v>180322.75710057211</v>
      </c>
    </row>
    <row r="185" spans="1:9" x14ac:dyDescent="0.45">
      <c r="A185" s="1">
        <v>173</v>
      </c>
      <c r="B185" s="73">
        <f t="shared" si="14"/>
        <v>49856</v>
      </c>
      <c r="C185" s="74">
        <f t="shared" si="19"/>
        <v>30</v>
      </c>
      <c r="D185" s="74">
        <f>SUM(C$13:C185)</f>
        <v>5264</v>
      </c>
      <c r="E185" s="75">
        <f t="shared" si="15"/>
        <v>2.4289893716118711</v>
      </c>
      <c r="F185" s="76">
        <f t="shared" si="16"/>
        <v>2.4066669382697232</v>
      </c>
      <c r="G185" s="79">
        <f t="shared" si="20"/>
        <v>72.534020282619167</v>
      </c>
      <c r="H185" s="79">
        <f t="shared" si="17"/>
        <v>3.0083336728371542E-3</v>
      </c>
      <c r="I185" s="66">
        <f t="shared" si="18"/>
        <v>180395.29112085473</v>
      </c>
    </row>
    <row r="186" spans="1:9" x14ac:dyDescent="0.45">
      <c r="A186" s="1">
        <v>174</v>
      </c>
      <c r="B186" s="73">
        <f t="shared" si="14"/>
        <v>49887</v>
      </c>
      <c r="C186" s="74">
        <f t="shared" si="19"/>
        <v>31</v>
      </c>
      <c r="D186" s="74">
        <f>SUM(C$13:C186)</f>
        <v>5295</v>
      </c>
      <c r="E186" s="75">
        <f t="shared" si="15"/>
        <v>2.4066669382697232</v>
      </c>
      <c r="F186" s="76">
        <f t="shared" si="16"/>
        <v>2.3839432788309787</v>
      </c>
      <c r="G186" s="79">
        <f t="shared" si="20"/>
        <v>74.25356732236105</v>
      </c>
      <c r="H186" s="79">
        <f t="shared" si="17"/>
        <v>2.9799290985387233E-3</v>
      </c>
      <c r="I186" s="66">
        <f t="shared" si="18"/>
        <v>180469.54468817709</v>
      </c>
    </row>
    <row r="187" spans="1:9" x14ac:dyDescent="0.45">
      <c r="A187" s="1">
        <v>175</v>
      </c>
      <c r="B187" s="73">
        <f t="shared" si="14"/>
        <v>49918</v>
      </c>
      <c r="C187" s="74">
        <f t="shared" si="19"/>
        <v>31</v>
      </c>
      <c r="D187" s="74">
        <f>SUM(C$13:C187)</f>
        <v>5326</v>
      </c>
      <c r="E187" s="75">
        <f t="shared" si="15"/>
        <v>2.3839432788309787</v>
      </c>
      <c r="F187" s="76">
        <f t="shared" si="16"/>
        <v>2.3615609744613111</v>
      </c>
      <c r="G187" s="79">
        <f t="shared" si="20"/>
        <v>73.55444323606207</v>
      </c>
      <c r="H187" s="79">
        <f t="shared" si="17"/>
        <v>2.9519512180766387E-3</v>
      </c>
      <c r="I187" s="66">
        <f t="shared" si="18"/>
        <v>180543.09913141315</v>
      </c>
    </row>
    <row r="188" spans="1:9" x14ac:dyDescent="0.45">
      <c r="A188" s="1">
        <v>176</v>
      </c>
      <c r="B188" s="73">
        <f t="shared" si="14"/>
        <v>49948</v>
      </c>
      <c r="C188" s="74">
        <f t="shared" si="19"/>
        <v>30</v>
      </c>
      <c r="D188" s="74">
        <f>SUM(C$13:C188)</f>
        <v>5356</v>
      </c>
      <c r="E188" s="75">
        <f t="shared" si="15"/>
        <v>2.3615609744613111</v>
      </c>
      <c r="F188" s="76">
        <f t="shared" si="16"/>
        <v>2.340219090126344</v>
      </c>
      <c r="G188" s="79">
        <f t="shared" si="20"/>
        <v>70.525925980124157</v>
      </c>
      <c r="H188" s="79">
        <f t="shared" si="17"/>
        <v>2.9252738626579298E-3</v>
      </c>
      <c r="I188" s="66">
        <f t="shared" si="18"/>
        <v>180613.62505739328</v>
      </c>
    </row>
    <row r="189" spans="1:9" x14ac:dyDescent="0.45">
      <c r="A189" s="1">
        <v>177</v>
      </c>
      <c r="B189" s="73">
        <f t="shared" si="14"/>
        <v>49979</v>
      </c>
      <c r="C189" s="74">
        <f t="shared" si="19"/>
        <v>31</v>
      </c>
      <c r="D189" s="74">
        <f>SUM(C$13:C189)</f>
        <v>5387</v>
      </c>
      <c r="E189" s="75">
        <f t="shared" si="15"/>
        <v>2.340219090126344</v>
      </c>
      <c r="F189" s="76">
        <f t="shared" si="16"/>
        <v>2.3184881841204219</v>
      </c>
      <c r="G189" s="79">
        <f t="shared" si="20"/>
        <v>72.209124791435897</v>
      </c>
      <c r="H189" s="79">
        <f t="shared" si="17"/>
        <v>2.8981102301505273E-3</v>
      </c>
      <c r="I189" s="66">
        <f t="shared" si="18"/>
        <v>180685.83418218471</v>
      </c>
    </row>
    <row r="190" spans="1:9" x14ac:dyDescent="0.45">
      <c r="A190" s="1">
        <v>178</v>
      </c>
      <c r="B190" s="73">
        <f t="shared" si="14"/>
        <v>50009</v>
      </c>
      <c r="C190" s="74">
        <f t="shared" si="19"/>
        <v>30</v>
      </c>
      <c r="D190" s="74">
        <f>SUM(C$13:C190)</f>
        <v>5417</v>
      </c>
      <c r="E190" s="75">
        <f t="shared" si="15"/>
        <v>2.3184881841204219</v>
      </c>
      <c r="F190" s="76">
        <f t="shared" si="16"/>
        <v>2.2977640473590557</v>
      </c>
      <c r="G190" s="79">
        <f t="shared" si="20"/>
        <v>69.24303915942437</v>
      </c>
      <c r="H190" s="79">
        <f t="shared" si="17"/>
        <v>2.8722050591988195E-3</v>
      </c>
      <c r="I190" s="66">
        <f t="shared" si="18"/>
        <v>180755.07722134414</v>
      </c>
    </row>
    <row r="191" spans="1:9" x14ac:dyDescent="0.45">
      <c r="A191" s="1">
        <v>179</v>
      </c>
      <c r="B191" s="73">
        <f t="shared" si="14"/>
        <v>50040</v>
      </c>
      <c r="C191" s="74">
        <f t="shared" si="19"/>
        <v>31</v>
      </c>
      <c r="D191" s="74">
        <f>SUM(C$13:C191)</f>
        <v>5448</v>
      </c>
      <c r="E191" s="75">
        <f t="shared" si="15"/>
        <v>2.2977640473590557</v>
      </c>
      <c r="F191" s="76">
        <f t="shared" si="16"/>
        <v>2.2766587544759314</v>
      </c>
      <c r="G191" s="79">
        <f t="shared" si="20"/>
        <v>70.902748459455324</v>
      </c>
      <c r="H191" s="79">
        <f t="shared" si="17"/>
        <v>2.845823443094914E-3</v>
      </c>
      <c r="I191" s="66">
        <f t="shared" si="18"/>
        <v>180825.97996980359</v>
      </c>
    </row>
    <row r="192" spans="1:9" x14ac:dyDescent="0.45">
      <c r="A192" s="1">
        <v>180</v>
      </c>
      <c r="B192" s="73">
        <f t="shared" si="14"/>
        <v>50071</v>
      </c>
      <c r="C192" s="74">
        <f t="shared" si="19"/>
        <v>31</v>
      </c>
      <c r="D192" s="74">
        <f>SUM(C$13:C192)</f>
        <v>5479</v>
      </c>
      <c r="E192" s="75">
        <f t="shared" si="15"/>
        <v>2.2766587544759314</v>
      </c>
      <c r="F192" s="76">
        <f t="shared" si="16"/>
        <v>2.2558619293185171</v>
      </c>
      <c r="G192" s="79">
        <f t="shared" si="20"/>
        <v>70.253281762445113</v>
      </c>
      <c r="H192" s="79">
        <f t="shared" si="17"/>
        <v>2.8198274116481466E-3</v>
      </c>
      <c r="I192" s="66">
        <f t="shared" si="18"/>
        <v>180896.23325156604</v>
      </c>
    </row>
    <row r="193" spans="1:9" x14ac:dyDescent="0.45">
      <c r="A193" s="1">
        <v>181</v>
      </c>
      <c r="B193" s="73">
        <f t="shared" si="14"/>
        <v>50099</v>
      </c>
      <c r="C193" s="74">
        <f t="shared" si="19"/>
        <v>28</v>
      </c>
      <c r="D193" s="74">
        <f>SUM(C$13:C193)</f>
        <v>5507</v>
      </c>
      <c r="E193" s="75">
        <f t="shared" si="15"/>
        <v>2.2558619293185171</v>
      </c>
      <c r="F193" s="76">
        <f t="shared" si="16"/>
        <v>2.2373377032855006</v>
      </c>
      <c r="G193" s="79">
        <f t="shared" si="20"/>
        <v>62.904224622616312</v>
      </c>
      <c r="H193" s="79">
        <f t="shared" si="17"/>
        <v>2.7966721291068758E-3</v>
      </c>
      <c r="I193" s="66">
        <f t="shared" si="18"/>
        <v>180959.13747618865</v>
      </c>
    </row>
    <row r="194" spans="1:9" x14ac:dyDescent="0.45">
      <c r="A194" s="1">
        <v>182</v>
      </c>
      <c r="B194" s="73">
        <f t="shared" si="14"/>
        <v>50130</v>
      </c>
      <c r="C194" s="74">
        <f t="shared" si="19"/>
        <v>31</v>
      </c>
      <c r="D194" s="74">
        <f>SUM(C$13:C194)</f>
        <v>5538</v>
      </c>
      <c r="E194" s="75">
        <f t="shared" si="15"/>
        <v>2.2373377032855006</v>
      </c>
      <c r="F194" s="76">
        <f t="shared" si="16"/>
        <v>2.2171110584617062</v>
      </c>
      <c r="G194" s="79">
        <f t="shared" si="20"/>
        <v>69.043196554412134</v>
      </c>
      <c r="H194" s="79">
        <f t="shared" si="17"/>
        <v>2.7713888230771326E-3</v>
      </c>
      <c r="I194" s="66">
        <f t="shared" si="18"/>
        <v>181028.18067274307</v>
      </c>
    </row>
    <row r="195" spans="1:9" x14ac:dyDescent="0.45">
      <c r="A195" s="1">
        <v>183</v>
      </c>
      <c r="B195" s="73">
        <f t="shared" si="14"/>
        <v>50160</v>
      </c>
      <c r="C195" s="74">
        <f t="shared" si="19"/>
        <v>30</v>
      </c>
      <c r="D195" s="74">
        <f>SUM(C$13:C195)</f>
        <v>5568</v>
      </c>
      <c r="E195" s="75">
        <f t="shared" si="15"/>
        <v>2.2171110584617062</v>
      </c>
      <c r="F195" s="76">
        <f t="shared" si="16"/>
        <v>2.1978140113892923</v>
      </c>
      <c r="G195" s="79">
        <f t="shared" si="20"/>
        <v>66.223201286135009</v>
      </c>
      <c r="H195" s="79">
        <f t="shared" si="17"/>
        <v>2.7472675142366154E-3</v>
      </c>
      <c r="I195" s="66">
        <f t="shared" si="18"/>
        <v>181094.4038740292</v>
      </c>
    </row>
    <row r="196" spans="1:9" x14ac:dyDescent="0.45">
      <c r="A196" s="1">
        <v>184</v>
      </c>
      <c r="B196" s="73">
        <f t="shared" si="14"/>
        <v>50191</v>
      </c>
      <c r="C196" s="74">
        <f t="shared" si="19"/>
        <v>31</v>
      </c>
      <c r="D196" s="74">
        <f>SUM(C$13:C196)</f>
        <v>5599</v>
      </c>
      <c r="E196" s="75">
        <f t="shared" si="15"/>
        <v>2.1978140113892923</v>
      </c>
      <c r="F196" s="76">
        <f t="shared" si="16"/>
        <v>2.1781545174202375</v>
      </c>
      <c r="G196" s="79">
        <f t="shared" si="20"/>
        <v>67.826782061776612</v>
      </c>
      <c r="H196" s="79">
        <f t="shared" si="17"/>
        <v>2.7226931467752968E-3</v>
      </c>
      <c r="I196" s="66">
        <f t="shared" si="18"/>
        <v>181162.23065609098</v>
      </c>
    </row>
    <row r="197" spans="1:9" x14ac:dyDescent="0.45">
      <c r="A197" s="1">
        <v>185</v>
      </c>
      <c r="B197" s="73">
        <f t="shared" si="14"/>
        <v>50221</v>
      </c>
      <c r="C197" s="74">
        <f t="shared" si="19"/>
        <v>30</v>
      </c>
      <c r="D197" s="74">
        <f>SUM(C$13:C197)</f>
        <v>5629</v>
      </c>
      <c r="E197" s="75">
        <f t="shared" si="15"/>
        <v>2.1781545174202375</v>
      </c>
      <c r="F197" s="76">
        <f t="shared" si="16"/>
        <v>2.1593957254597531</v>
      </c>
      <c r="G197" s="79">
        <f t="shared" si="20"/>
        <v>65.062604624545202</v>
      </c>
      <c r="H197" s="79">
        <f t="shared" si="17"/>
        <v>2.6992446568246914E-3</v>
      </c>
      <c r="I197" s="66">
        <f t="shared" si="18"/>
        <v>181227.29326071552</v>
      </c>
    </row>
    <row r="198" spans="1:9" x14ac:dyDescent="0.45">
      <c r="A198" s="1">
        <v>186</v>
      </c>
      <c r="B198" s="73">
        <f t="shared" si="14"/>
        <v>50252</v>
      </c>
      <c r="C198" s="74">
        <f t="shared" si="19"/>
        <v>31</v>
      </c>
      <c r="D198" s="74">
        <f>SUM(C$13:C198)</f>
        <v>5660</v>
      </c>
      <c r="E198" s="75">
        <f t="shared" si="15"/>
        <v>2.1593957254597531</v>
      </c>
      <c r="F198" s="76">
        <f t="shared" si="16"/>
        <v>2.1402817438139601</v>
      </c>
      <c r="G198" s="79">
        <f t="shared" si="20"/>
        <v>66.644298350351164</v>
      </c>
      <c r="H198" s="79">
        <f t="shared" si="17"/>
        <v>2.6753521797674503E-3</v>
      </c>
      <c r="I198" s="66">
        <f t="shared" si="18"/>
        <v>181293.93755906587</v>
      </c>
    </row>
    <row r="199" spans="1:9" x14ac:dyDescent="0.45">
      <c r="A199" s="1">
        <v>187</v>
      </c>
      <c r="B199" s="73">
        <f t="shared" si="14"/>
        <v>50283</v>
      </c>
      <c r="C199" s="74">
        <f t="shared" si="19"/>
        <v>31</v>
      </c>
      <c r="D199" s="74">
        <f>SUM(C$13:C199)</f>
        <v>5691</v>
      </c>
      <c r="E199" s="75">
        <f t="shared" si="15"/>
        <v>2.1402817438139601</v>
      </c>
      <c r="F199" s="76">
        <f t="shared" si="16"/>
        <v>2.12143703280596</v>
      </c>
      <c r="G199" s="79">
        <f t="shared" si="20"/>
        <v>66.055952184455236</v>
      </c>
      <c r="H199" s="79">
        <f t="shared" si="17"/>
        <v>2.65179629100745E-3</v>
      </c>
      <c r="I199" s="66">
        <f t="shared" si="18"/>
        <v>181359.99351125033</v>
      </c>
    </row>
    <row r="200" spans="1:9" x14ac:dyDescent="0.45">
      <c r="A200" s="1">
        <v>188</v>
      </c>
      <c r="B200" s="73">
        <f t="shared" si="14"/>
        <v>50313</v>
      </c>
      <c r="C200" s="74">
        <f t="shared" si="19"/>
        <v>30</v>
      </c>
      <c r="D200" s="74">
        <f>SUM(C$13:C200)</f>
        <v>5721</v>
      </c>
      <c r="E200" s="75">
        <f t="shared" si="15"/>
        <v>2.12143703280596</v>
      </c>
      <c r="F200" s="76">
        <f t="shared" si="16"/>
        <v>2.1034517092372589</v>
      </c>
      <c r="G200" s="79">
        <f t="shared" si="20"/>
        <v>63.372718620725209</v>
      </c>
      <c r="H200" s="79">
        <f t="shared" si="17"/>
        <v>2.6293146365465735E-3</v>
      </c>
      <c r="I200" s="66">
        <f t="shared" si="18"/>
        <v>181423.36622987106</v>
      </c>
    </row>
    <row r="201" spans="1:9" x14ac:dyDescent="0.45">
      <c r="A201" s="1">
        <v>189</v>
      </c>
      <c r="B201" s="73">
        <f t="shared" si="14"/>
        <v>50344</v>
      </c>
      <c r="C201" s="74">
        <f t="shared" si="19"/>
        <v>31</v>
      </c>
      <c r="D201" s="74">
        <f>SUM(C$13:C201)</f>
        <v>5752</v>
      </c>
      <c r="E201" s="75">
        <f t="shared" si="15"/>
        <v>2.1034517092372589</v>
      </c>
      <c r="F201" s="76">
        <f t="shared" si="16"/>
        <v>2.0851218228758159</v>
      </c>
      <c r="G201" s="79">
        <f t="shared" si="20"/>
        <v>64.922226637339918</v>
      </c>
      <c r="H201" s="79">
        <f t="shared" si="17"/>
        <v>2.6064022785947699E-3</v>
      </c>
      <c r="I201" s="66">
        <f t="shared" si="18"/>
        <v>181488.2884565084</v>
      </c>
    </row>
    <row r="202" spans="1:9" x14ac:dyDescent="0.45">
      <c r="A202" s="1">
        <v>190</v>
      </c>
      <c r="B202" s="73">
        <f t="shared" si="14"/>
        <v>50374</v>
      </c>
      <c r="C202" s="74">
        <f t="shared" si="19"/>
        <v>30</v>
      </c>
      <c r="D202" s="74">
        <f>SUM(C$13:C202)</f>
        <v>5782</v>
      </c>
      <c r="E202" s="75">
        <f t="shared" si="15"/>
        <v>2.0851218228758159</v>
      </c>
      <c r="F202" s="76">
        <f t="shared" si="16"/>
        <v>2.0676253418980277</v>
      </c>
      <c r="G202" s="79">
        <f t="shared" si="20"/>
        <v>62.290617735416163</v>
      </c>
      <c r="H202" s="79">
        <f t="shared" si="17"/>
        <v>2.5845316773725345E-3</v>
      </c>
      <c r="I202" s="66">
        <f t="shared" si="18"/>
        <v>181550.57907424381</v>
      </c>
    </row>
    <row r="203" spans="1:9" x14ac:dyDescent="0.45">
      <c r="A203" s="1">
        <v>191</v>
      </c>
      <c r="B203" s="73">
        <f t="shared" si="14"/>
        <v>50405</v>
      </c>
      <c r="C203" s="74">
        <f t="shared" si="19"/>
        <v>31</v>
      </c>
      <c r="D203" s="74">
        <f>SUM(C$13:C203)</f>
        <v>5813</v>
      </c>
      <c r="E203" s="75">
        <f t="shared" si="15"/>
        <v>2.0676253418980277</v>
      </c>
      <c r="F203" s="76">
        <f t="shared" si="16"/>
        <v>2.0497911376222953</v>
      </c>
      <c r="G203" s="79">
        <f t="shared" si="20"/>
        <v>63.819316852896009</v>
      </c>
      <c r="H203" s="79">
        <f t="shared" si="17"/>
        <v>2.5622389220278691E-3</v>
      </c>
      <c r="I203" s="66">
        <f t="shared" si="18"/>
        <v>181614.39839109671</v>
      </c>
    </row>
    <row r="204" spans="1:9" x14ac:dyDescent="0.45">
      <c r="A204" s="1">
        <v>192</v>
      </c>
      <c r="B204" s="73">
        <f t="shared" si="14"/>
        <v>50436</v>
      </c>
      <c r="C204" s="74">
        <f t="shared" si="19"/>
        <v>31</v>
      </c>
      <c r="D204" s="74">
        <f>SUM(C$13:C204)</f>
        <v>5844</v>
      </c>
      <c r="E204" s="75">
        <f t="shared" si="15"/>
        <v>2.0497911376222953</v>
      </c>
      <c r="F204" s="76">
        <f t="shared" si="16"/>
        <v>2.0322017907131218</v>
      </c>
      <c r="G204" s="79">
        <f t="shared" si="20"/>
        <v>63.270263833692297</v>
      </c>
      <c r="H204" s="79">
        <f t="shared" si="17"/>
        <v>2.5402522383914023E-3</v>
      </c>
      <c r="I204" s="66">
        <f t="shared" si="18"/>
        <v>181677.6686549304</v>
      </c>
    </row>
    <row r="205" spans="1:9" x14ac:dyDescent="0.45">
      <c r="A205" s="1">
        <v>193</v>
      </c>
      <c r="B205" s="73">
        <f t="shared" ref="B205:B268" si="21">EDATE($B$7,A205)-1</f>
        <v>50464</v>
      </c>
      <c r="C205" s="74">
        <f t="shared" si="19"/>
        <v>28</v>
      </c>
      <c r="D205" s="74">
        <f>SUM(C$13:C205)</f>
        <v>5872</v>
      </c>
      <c r="E205" s="75">
        <f t="shared" si="15"/>
        <v>2.0322017907131218</v>
      </c>
      <c r="F205" s="76">
        <f t="shared" si="16"/>
        <v>2.0165212713240033</v>
      </c>
      <c r="G205" s="79">
        <f t="shared" si="20"/>
        <v>56.681669416691875</v>
      </c>
      <c r="H205" s="79">
        <f t="shared" si="17"/>
        <v>2.5206515891550039E-3</v>
      </c>
      <c r="I205" s="66">
        <f t="shared" si="18"/>
        <v>181734.35032434709</v>
      </c>
    </row>
    <row r="206" spans="1:9" x14ac:dyDescent="0.45">
      <c r="A206" s="1">
        <v>194</v>
      </c>
      <c r="B206" s="73">
        <f t="shared" si="21"/>
        <v>50495</v>
      </c>
      <c r="C206" s="74">
        <f t="shared" si="19"/>
        <v>31</v>
      </c>
      <c r="D206" s="74">
        <f>SUM(C$13:C206)</f>
        <v>5903</v>
      </c>
      <c r="E206" s="75">
        <f t="shared" ref="E206:E252" si="22">$B$2/(1+$B$3*$B$4*(D206-C206))^(1/$B$3)</f>
        <v>2.0165212713240033</v>
      </c>
      <c r="F206" s="76">
        <f t="shared" ref="F206:F252" si="23">$B$2/(1+$B$3*$B$4*(D206))^(1/$B$3)</f>
        <v>1.9993853289915942</v>
      </c>
      <c r="G206" s="79">
        <f t="shared" si="20"/>
        <v>62.245947848830838</v>
      </c>
      <c r="H206" s="79">
        <f t="shared" ref="H206:H252" si="24">F206/$B$2</f>
        <v>2.4992316612394926E-3</v>
      </c>
      <c r="I206" s="66">
        <f t="shared" ref="I206:I252" si="25">($B$2^$B$3/($B$3-1)/$B$4)*(F206^(1-$B$3)-$B$2^(1-$B$3))</f>
        <v>181796.59627219592</v>
      </c>
    </row>
    <row r="207" spans="1:9" x14ac:dyDescent="0.45">
      <c r="A207" s="1">
        <v>195</v>
      </c>
      <c r="B207" s="73">
        <f t="shared" si="21"/>
        <v>50525</v>
      </c>
      <c r="C207" s="74">
        <f t="shared" ref="C207:C252" si="26">_xlfn.DAYS(B207,B206)</f>
        <v>30</v>
      </c>
      <c r="D207" s="74">
        <f>SUM(C$13:C207)</f>
        <v>5933</v>
      </c>
      <c r="E207" s="75">
        <f t="shared" si="22"/>
        <v>1.9993853289915942</v>
      </c>
      <c r="F207" s="76">
        <f t="shared" si="23"/>
        <v>1.9830229129460344</v>
      </c>
      <c r="G207" s="79">
        <f t="shared" ref="G207:G252" si="27">I207-I206</f>
        <v>59.735585804242874</v>
      </c>
      <c r="H207" s="79">
        <f t="shared" si="24"/>
        <v>2.4787786411825429E-3</v>
      </c>
      <c r="I207" s="66">
        <f t="shared" si="25"/>
        <v>181856.33185800017</v>
      </c>
    </row>
    <row r="208" spans="1:9" x14ac:dyDescent="0.45">
      <c r="A208" s="1">
        <v>196</v>
      </c>
      <c r="B208" s="73">
        <f t="shared" si="21"/>
        <v>50556</v>
      </c>
      <c r="C208" s="74">
        <f t="shared" si="26"/>
        <v>31</v>
      </c>
      <c r="D208" s="74">
        <f>SUM(C$13:C208)</f>
        <v>5964</v>
      </c>
      <c r="E208" s="75">
        <f t="shared" si="22"/>
        <v>1.9830229129460344</v>
      </c>
      <c r="F208" s="76">
        <f t="shared" si="23"/>
        <v>1.9663390185625584</v>
      </c>
      <c r="G208" s="79">
        <f t="shared" si="27"/>
        <v>61.214527298463508</v>
      </c>
      <c r="H208" s="79">
        <f t="shared" si="24"/>
        <v>2.457923773203198E-3</v>
      </c>
      <c r="I208" s="66">
        <f t="shared" si="25"/>
        <v>181917.54638529863</v>
      </c>
    </row>
    <row r="209" spans="1:9" x14ac:dyDescent="0.45">
      <c r="A209" s="1">
        <v>197</v>
      </c>
      <c r="B209" s="73">
        <f t="shared" si="21"/>
        <v>50586</v>
      </c>
      <c r="C209" s="74">
        <f t="shared" si="26"/>
        <v>30</v>
      </c>
      <c r="D209" s="74">
        <f>SUM(C$13:C209)</f>
        <v>5994</v>
      </c>
      <c r="E209" s="75">
        <f t="shared" si="22"/>
        <v>1.9663390185625584</v>
      </c>
      <c r="F209" s="76">
        <f t="shared" si="23"/>
        <v>1.9504061201308851</v>
      </c>
      <c r="G209" s="79">
        <f t="shared" si="27"/>
        <v>58.750658571778331</v>
      </c>
      <c r="H209" s="79">
        <f t="shared" si="24"/>
        <v>2.4380076501636064E-3</v>
      </c>
      <c r="I209" s="66">
        <f t="shared" si="25"/>
        <v>181976.29704387041</v>
      </c>
    </row>
    <row r="210" spans="1:9" x14ac:dyDescent="0.45">
      <c r="A210" s="1">
        <v>198</v>
      </c>
      <c r="B210" s="73">
        <f t="shared" si="21"/>
        <v>50617</v>
      </c>
      <c r="C210" s="74">
        <f t="shared" si="26"/>
        <v>31</v>
      </c>
      <c r="D210" s="74">
        <f>SUM(C$13:C210)</f>
        <v>6025</v>
      </c>
      <c r="E210" s="75">
        <f t="shared" si="22"/>
        <v>1.9504061201308851</v>
      </c>
      <c r="F210" s="76">
        <f t="shared" si="23"/>
        <v>1.9341580375237677</v>
      </c>
      <c r="G210" s="79">
        <f t="shared" si="27"/>
        <v>60.210182627488393</v>
      </c>
      <c r="H210" s="79">
        <f t="shared" si="24"/>
        <v>2.4176975469047098E-3</v>
      </c>
      <c r="I210" s="66">
        <f t="shared" si="25"/>
        <v>182036.5072264979</v>
      </c>
    </row>
    <row r="211" spans="1:9" x14ac:dyDescent="0.45">
      <c r="A211" s="1">
        <v>199</v>
      </c>
      <c r="B211" s="73">
        <f t="shared" si="21"/>
        <v>50648</v>
      </c>
      <c r="C211" s="74">
        <f t="shared" si="26"/>
        <v>31</v>
      </c>
      <c r="D211" s="74">
        <f>SUM(C$13:C211)</f>
        <v>6056</v>
      </c>
      <c r="E211" s="75">
        <f t="shared" si="22"/>
        <v>1.9341580375237677</v>
      </c>
      <c r="F211" s="76">
        <f t="shared" si="23"/>
        <v>1.9181254479401788</v>
      </c>
      <c r="G211" s="79">
        <f t="shared" si="27"/>
        <v>59.709842428361299</v>
      </c>
      <c r="H211" s="79">
        <f t="shared" si="24"/>
        <v>2.3976568099252234E-3</v>
      </c>
      <c r="I211" s="66">
        <f t="shared" si="25"/>
        <v>182096.21706892626</v>
      </c>
    </row>
    <row r="212" spans="1:9" x14ac:dyDescent="0.45">
      <c r="A212" s="1">
        <v>200</v>
      </c>
      <c r="B212" s="73">
        <f t="shared" si="21"/>
        <v>50678</v>
      </c>
      <c r="C212" s="74">
        <f t="shared" si="26"/>
        <v>30</v>
      </c>
      <c r="D212" s="74">
        <f>SUM(C$13:C212)</f>
        <v>6086</v>
      </c>
      <c r="E212" s="75">
        <f t="shared" si="22"/>
        <v>1.9181254479401788</v>
      </c>
      <c r="F212" s="76">
        <f t="shared" si="23"/>
        <v>1.902811532932613</v>
      </c>
      <c r="G212" s="79">
        <f t="shared" si="27"/>
        <v>57.313563698669896</v>
      </c>
      <c r="H212" s="79">
        <f t="shared" si="24"/>
        <v>2.3785144161657663E-3</v>
      </c>
      <c r="I212" s="66">
        <f t="shared" si="25"/>
        <v>182153.53063262493</v>
      </c>
    </row>
    <row r="213" spans="1:9" x14ac:dyDescent="0.45">
      <c r="A213" s="1">
        <v>201</v>
      </c>
      <c r="B213" s="73">
        <f t="shared" si="21"/>
        <v>50709</v>
      </c>
      <c r="C213" s="74">
        <f t="shared" si="26"/>
        <v>31</v>
      </c>
      <c r="D213" s="74">
        <f>SUM(C$13:C213)</f>
        <v>6117</v>
      </c>
      <c r="E213" s="75">
        <f t="shared" si="22"/>
        <v>1.902811532932613</v>
      </c>
      <c r="F213" s="76">
        <f t="shared" si="23"/>
        <v>1.8871916450357142</v>
      </c>
      <c r="G213" s="79">
        <f t="shared" si="27"/>
        <v>58.744517090846784</v>
      </c>
      <c r="H213" s="79">
        <f t="shared" si="24"/>
        <v>2.3589895562946429E-3</v>
      </c>
      <c r="I213" s="66">
        <f t="shared" si="25"/>
        <v>182212.27514971577</v>
      </c>
    </row>
    <row r="214" spans="1:9" x14ac:dyDescent="0.45">
      <c r="A214" s="1">
        <v>202</v>
      </c>
      <c r="B214" s="73">
        <f t="shared" si="21"/>
        <v>50739</v>
      </c>
      <c r="C214" s="74">
        <f t="shared" si="26"/>
        <v>30</v>
      </c>
      <c r="D214" s="74">
        <f>SUM(C$13:C214)</f>
        <v>6147</v>
      </c>
      <c r="E214" s="75">
        <f t="shared" si="22"/>
        <v>1.8871916450357142</v>
      </c>
      <c r="F214" s="76">
        <f t="shared" si="23"/>
        <v>1.8722700384176771</v>
      </c>
      <c r="G214" s="79">
        <f t="shared" si="27"/>
        <v>56.391451449511806</v>
      </c>
      <c r="H214" s="79">
        <f t="shared" si="24"/>
        <v>2.3403375480220965E-3</v>
      </c>
      <c r="I214" s="66">
        <f t="shared" si="25"/>
        <v>182268.66660116529</v>
      </c>
    </row>
    <row r="215" spans="1:9" x14ac:dyDescent="0.45">
      <c r="A215" s="1">
        <v>203</v>
      </c>
      <c r="B215" s="73">
        <f t="shared" si="21"/>
        <v>50770</v>
      </c>
      <c r="C215" s="74">
        <f t="shared" si="26"/>
        <v>31</v>
      </c>
      <c r="D215" s="74">
        <f>SUM(C$13:C215)</f>
        <v>6178</v>
      </c>
      <c r="E215" s="75">
        <f t="shared" si="22"/>
        <v>1.8722700384176771</v>
      </c>
      <c r="F215" s="76">
        <f t="shared" si="23"/>
        <v>1.8570483846672705</v>
      </c>
      <c r="G215" s="79">
        <f t="shared" si="27"/>
        <v>57.803921956190607</v>
      </c>
      <c r="H215" s="79">
        <f t="shared" si="24"/>
        <v>2.3213104808340883E-3</v>
      </c>
      <c r="I215" s="66">
        <f t="shared" si="25"/>
        <v>182326.47052312148</v>
      </c>
    </row>
    <row r="216" spans="1:9" x14ac:dyDescent="0.45">
      <c r="A216" s="1">
        <v>204</v>
      </c>
      <c r="B216" s="73">
        <f t="shared" si="21"/>
        <v>50801</v>
      </c>
      <c r="C216" s="74">
        <f t="shared" si="26"/>
        <v>31</v>
      </c>
      <c r="D216" s="74">
        <f>SUM(C$13:C216)</f>
        <v>6209</v>
      </c>
      <c r="E216" s="75">
        <f t="shared" si="22"/>
        <v>1.8570483846672705</v>
      </c>
      <c r="F216" s="76">
        <f t="shared" si="23"/>
        <v>1.8420237740263319</v>
      </c>
      <c r="G216" s="79">
        <f t="shared" si="27"/>
        <v>57.335113977605943</v>
      </c>
      <c r="H216" s="79">
        <f t="shared" si="24"/>
        <v>2.3025297175329148E-3</v>
      </c>
      <c r="I216" s="66">
        <f t="shared" si="25"/>
        <v>182383.80563709908</v>
      </c>
    </row>
    <row r="217" spans="1:9" x14ac:dyDescent="0.45">
      <c r="A217" s="1">
        <v>205</v>
      </c>
      <c r="B217" s="73">
        <f t="shared" si="21"/>
        <v>50829</v>
      </c>
      <c r="C217" s="74">
        <f t="shared" si="26"/>
        <v>28</v>
      </c>
      <c r="D217" s="74">
        <f>SUM(C$13:C217)</f>
        <v>6237</v>
      </c>
      <c r="E217" s="75">
        <f t="shared" si="22"/>
        <v>1.8420237740263319</v>
      </c>
      <c r="F217" s="76">
        <f t="shared" si="23"/>
        <v>1.8286196159411274</v>
      </c>
      <c r="G217" s="79">
        <f t="shared" si="27"/>
        <v>51.388641978322994</v>
      </c>
      <c r="H217" s="79">
        <f t="shared" si="24"/>
        <v>2.2857745199264092E-3</v>
      </c>
      <c r="I217" s="66">
        <f t="shared" si="25"/>
        <v>182435.1942790774</v>
      </c>
    </row>
    <row r="218" spans="1:9" x14ac:dyDescent="0.45">
      <c r="A218" s="1">
        <v>206</v>
      </c>
      <c r="B218" s="73">
        <f t="shared" si="21"/>
        <v>50860</v>
      </c>
      <c r="C218" s="74">
        <f t="shared" si="26"/>
        <v>31</v>
      </c>
      <c r="D218" s="74">
        <f>SUM(C$13:C218)</f>
        <v>6268</v>
      </c>
      <c r="E218" s="75">
        <f t="shared" si="22"/>
        <v>1.8286196159411274</v>
      </c>
      <c r="F218" s="76">
        <f t="shared" si="23"/>
        <v>1.8139604452612506</v>
      </c>
      <c r="G218" s="79">
        <f t="shared" si="27"/>
        <v>56.459503260906786</v>
      </c>
      <c r="H218" s="79">
        <f t="shared" si="24"/>
        <v>2.2674505565765633E-3</v>
      </c>
      <c r="I218" s="66">
        <f t="shared" si="25"/>
        <v>182491.65378233831</v>
      </c>
    </row>
    <row r="219" spans="1:9" x14ac:dyDescent="0.45">
      <c r="A219" s="1">
        <v>207</v>
      </c>
      <c r="B219" s="73">
        <f t="shared" si="21"/>
        <v>50890</v>
      </c>
      <c r="C219" s="74">
        <f t="shared" si="26"/>
        <v>30</v>
      </c>
      <c r="D219" s="74">
        <f>SUM(C$13:C219)</f>
        <v>6298</v>
      </c>
      <c r="E219" s="75">
        <f t="shared" si="22"/>
        <v>1.8139604452612506</v>
      </c>
      <c r="F219" s="76">
        <f t="shared" si="23"/>
        <v>1.7999523522822067</v>
      </c>
      <c r="G219" s="79">
        <f t="shared" si="27"/>
        <v>54.208257581020007</v>
      </c>
      <c r="H219" s="79">
        <f t="shared" si="24"/>
        <v>2.2499404403527584E-3</v>
      </c>
      <c r="I219" s="66">
        <f t="shared" si="25"/>
        <v>182545.86203991933</v>
      </c>
    </row>
    <row r="220" spans="1:9" x14ac:dyDescent="0.45">
      <c r="A220" s="1">
        <v>208</v>
      </c>
      <c r="B220" s="73">
        <f t="shared" si="21"/>
        <v>50921</v>
      </c>
      <c r="C220" s="74">
        <f t="shared" si="26"/>
        <v>31</v>
      </c>
      <c r="D220" s="74">
        <f>SUM(C$13:C220)</f>
        <v>6329</v>
      </c>
      <c r="E220" s="75">
        <f t="shared" si="22"/>
        <v>1.7999523522822067</v>
      </c>
      <c r="F220" s="76">
        <f t="shared" si="23"/>
        <v>1.7856582815539668</v>
      </c>
      <c r="G220" s="79">
        <f t="shared" si="27"/>
        <v>55.576493759494042</v>
      </c>
      <c r="H220" s="79">
        <f t="shared" si="24"/>
        <v>2.2320728519424583E-3</v>
      </c>
      <c r="I220" s="66">
        <f t="shared" si="25"/>
        <v>182601.43853367883</v>
      </c>
    </row>
    <row r="221" spans="1:9" x14ac:dyDescent="0.45">
      <c r="A221" s="1">
        <v>209</v>
      </c>
      <c r="B221" s="73">
        <f t="shared" si="21"/>
        <v>50951</v>
      </c>
      <c r="C221" s="74">
        <f t="shared" si="26"/>
        <v>30</v>
      </c>
      <c r="D221" s="74">
        <f>SUM(C$13:C221)</f>
        <v>6359</v>
      </c>
      <c r="E221" s="75">
        <f t="shared" si="22"/>
        <v>1.7856582815539668</v>
      </c>
      <c r="F221" s="76">
        <f t="shared" si="23"/>
        <v>1.7719974510881376</v>
      </c>
      <c r="G221" s="79">
        <f t="shared" si="27"/>
        <v>53.364416344847996</v>
      </c>
      <c r="H221" s="79">
        <f t="shared" si="24"/>
        <v>2.2149968138601719E-3</v>
      </c>
      <c r="I221" s="66">
        <f t="shared" si="25"/>
        <v>182654.80295002367</v>
      </c>
    </row>
    <row r="222" spans="1:9" x14ac:dyDescent="0.45">
      <c r="A222" s="1">
        <v>210</v>
      </c>
      <c r="B222" s="73">
        <f t="shared" si="21"/>
        <v>50982</v>
      </c>
      <c r="C222" s="74">
        <f t="shared" si="26"/>
        <v>31</v>
      </c>
      <c r="D222" s="74">
        <f>SUM(C$13:C222)</f>
        <v>6390</v>
      </c>
      <c r="E222" s="75">
        <f t="shared" si="22"/>
        <v>1.7719974510881376</v>
      </c>
      <c r="F222" s="76">
        <f t="shared" si="23"/>
        <v>1.7580560930552827</v>
      </c>
      <c r="G222" s="79">
        <f t="shared" si="27"/>
        <v>54.715374777500983</v>
      </c>
      <c r="H222" s="79">
        <f t="shared" si="24"/>
        <v>2.1975701163191035E-3</v>
      </c>
      <c r="I222" s="66">
        <f t="shared" si="25"/>
        <v>182709.51832480117</v>
      </c>
    </row>
    <row r="223" spans="1:9" x14ac:dyDescent="0.45">
      <c r="A223" s="1">
        <v>211</v>
      </c>
      <c r="B223" s="73">
        <f t="shared" si="21"/>
        <v>51013</v>
      </c>
      <c r="C223" s="74">
        <f t="shared" si="26"/>
        <v>31</v>
      </c>
      <c r="D223" s="74">
        <f>SUM(C$13:C223)</f>
        <v>6421</v>
      </c>
      <c r="E223" s="75">
        <f t="shared" si="22"/>
        <v>1.7580560930552827</v>
      </c>
      <c r="F223" s="76">
        <f t="shared" si="23"/>
        <v>1.7442894061928238</v>
      </c>
      <c r="G223" s="79">
        <f t="shared" si="27"/>
        <v>54.28590790432645</v>
      </c>
      <c r="H223" s="79">
        <f t="shared" si="24"/>
        <v>2.1803617577410297E-3</v>
      </c>
      <c r="I223" s="66">
        <f t="shared" si="25"/>
        <v>182763.8042327055</v>
      </c>
    </row>
    <row r="224" spans="1:9" x14ac:dyDescent="0.45">
      <c r="A224" s="1">
        <v>212</v>
      </c>
      <c r="B224" s="73">
        <f t="shared" si="21"/>
        <v>51043</v>
      </c>
      <c r="C224" s="74">
        <f t="shared" si="26"/>
        <v>30</v>
      </c>
      <c r="D224" s="74">
        <f>SUM(C$13:C224)</f>
        <v>6451</v>
      </c>
      <c r="E224" s="75">
        <f t="shared" si="22"/>
        <v>1.7442894061928238</v>
      </c>
      <c r="F224" s="76">
        <f t="shared" si="23"/>
        <v>1.7311302947041771</v>
      </c>
      <c r="G224" s="79">
        <f t="shared" si="27"/>
        <v>52.130896913382458</v>
      </c>
      <c r="H224" s="79">
        <f t="shared" si="24"/>
        <v>2.1639128683802215E-3</v>
      </c>
      <c r="I224" s="66">
        <f t="shared" si="25"/>
        <v>182815.93512961888</v>
      </c>
    </row>
    <row r="225" spans="1:9" x14ac:dyDescent="0.45">
      <c r="A225" s="1">
        <v>213</v>
      </c>
      <c r="B225" s="73">
        <f t="shared" si="21"/>
        <v>51074</v>
      </c>
      <c r="C225" s="74">
        <f t="shared" si="26"/>
        <v>31</v>
      </c>
      <c r="D225" s="74">
        <f>SUM(C$13:C225)</f>
        <v>6482</v>
      </c>
      <c r="E225" s="75">
        <f t="shared" si="22"/>
        <v>1.7311302947041771</v>
      </c>
      <c r="F225" s="76">
        <f t="shared" si="23"/>
        <v>1.7176986317512346</v>
      </c>
      <c r="G225" s="79">
        <f t="shared" si="27"/>
        <v>53.456415925960755</v>
      </c>
      <c r="H225" s="79">
        <f t="shared" si="24"/>
        <v>2.1471232896890431E-3</v>
      </c>
      <c r="I225" s="66">
        <f t="shared" si="25"/>
        <v>182869.39154554484</v>
      </c>
    </row>
    <row r="226" spans="1:9" x14ac:dyDescent="0.45">
      <c r="A226" s="1">
        <v>214</v>
      </c>
      <c r="B226" s="73">
        <f t="shared" si="21"/>
        <v>51104</v>
      </c>
      <c r="C226" s="74">
        <f t="shared" si="26"/>
        <v>30</v>
      </c>
      <c r="D226" s="74">
        <f>SUM(C$13:C226)</f>
        <v>6512</v>
      </c>
      <c r="E226" s="75">
        <f t="shared" si="22"/>
        <v>1.7176986317512346</v>
      </c>
      <c r="F226" s="76">
        <f t="shared" si="23"/>
        <v>1.7048583036342289</v>
      </c>
      <c r="G226" s="79">
        <f t="shared" si="27"/>
        <v>51.337968647334492</v>
      </c>
      <c r="H226" s="79">
        <f t="shared" si="24"/>
        <v>2.1310728795427862E-3</v>
      </c>
      <c r="I226" s="66">
        <f t="shared" si="25"/>
        <v>182920.72951419218</v>
      </c>
    </row>
    <row r="227" spans="1:9" x14ac:dyDescent="0.45">
      <c r="A227" s="1">
        <v>215</v>
      </c>
      <c r="B227" s="73">
        <f t="shared" si="21"/>
        <v>51135</v>
      </c>
      <c r="C227" s="74">
        <f t="shared" si="26"/>
        <v>31</v>
      </c>
      <c r="D227" s="74">
        <f>SUM(C$13:C227)</f>
        <v>6543</v>
      </c>
      <c r="E227" s="75">
        <f t="shared" si="22"/>
        <v>1.7048583036342289</v>
      </c>
      <c r="F227" s="76">
        <f t="shared" si="23"/>
        <v>1.6917505555814982</v>
      </c>
      <c r="G227" s="79">
        <f t="shared" si="27"/>
        <v>52.647019157739123</v>
      </c>
      <c r="H227" s="79">
        <f t="shared" si="24"/>
        <v>2.114688194476873E-3</v>
      </c>
      <c r="I227" s="66">
        <f t="shared" si="25"/>
        <v>182973.37653334992</v>
      </c>
    </row>
    <row r="228" spans="1:9" x14ac:dyDescent="0.45">
      <c r="A228" s="1">
        <v>216</v>
      </c>
      <c r="B228" s="73">
        <f t="shared" si="21"/>
        <v>51166</v>
      </c>
      <c r="C228" s="74">
        <f t="shared" si="26"/>
        <v>31</v>
      </c>
      <c r="D228" s="74">
        <f>SUM(C$13:C228)</f>
        <v>6574</v>
      </c>
      <c r="E228" s="75">
        <f t="shared" si="22"/>
        <v>1.6917505555814982</v>
      </c>
      <c r="F228" s="76">
        <f t="shared" si="23"/>
        <v>1.6788033125141266</v>
      </c>
      <c r="G228" s="79">
        <f t="shared" si="27"/>
        <v>52.243173819646472</v>
      </c>
      <c r="H228" s="79">
        <f t="shared" si="24"/>
        <v>2.0985041406426583E-3</v>
      </c>
      <c r="I228" s="66">
        <f t="shared" si="25"/>
        <v>183025.61970716956</v>
      </c>
    </row>
    <row r="229" spans="1:9" x14ac:dyDescent="0.45">
      <c r="A229" s="1">
        <v>217</v>
      </c>
      <c r="B229" s="73">
        <f t="shared" si="21"/>
        <v>51195</v>
      </c>
      <c r="C229" s="74">
        <f t="shared" si="26"/>
        <v>29</v>
      </c>
      <c r="D229" s="74">
        <f>SUM(C$13:C229)</f>
        <v>6603</v>
      </c>
      <c r="E229" s="75">
        <f t="shared" si="22"/>
        <v>1.6788033125141266</v>
      </c>
      <c r="F229" s="76">
        <f t="shared" si="23"/>
        <v>1.6668342979579642</v>
      </c>
      <c r="G229" s="79">
        <f t="shared" si="27"/>
        <v>48.511414216191042</v>
      </c>
      <c r="H229" s="79">
        <f t="shared" si="24"/>
        <v>2.0835428724474553E-3</v>
      </c>
      <c r="I229" s="66">
        <f t="shared" si="25"/>
        <v>183074.13112138576</v>
      </c>
    </row>
    <row r="230" spans="1:9" x14ac:dyDescent="0.45">
      <c r="A230" s="1">
        <v>218</v>
      </c>
      <c r="B230" s="73">
        <f t="shared" si="21"/>
        <v>51226</v>
      </c>
      <c r="C230" s="74">
        <f t="shared" si="26"/>
        <v>31</v>
      </c>
      <c r="D230" s="74">
        <f>SUM(C$13:C230)</f>
        <v>6634</v>
      </c>
      <c r="E230" s="75">
        <f t="shared" si="22"/>
        <v>1.6668342979579642</v>
      </c>
      <c r="F230" s="76">
        <f t="shared" si="23"/>
        <v>1.6541901184316972</v>
      </c>
      <c r="G230" s="79">
        <f t="shared" si="27"/>
        <v>51.475480492401402</v>
      </c>
      <c r="H230" s="79">
        <f t="shared" si="24"/>
        <v>2.0677376480396216E-3</v>
      </c>
      <c r="I230" s="66">
        <f t="shared" si="25"/>
        <v>183125.60660187816</v>
      </c>
    </row>
    <row r="231" spans="1:9" x14ac:dyDescent="0.45">
      <c r="A231" s="1">
        <v>219</v>
      </c>
      <c r="B231" s="73">
        <f t="shared" si="21"/>
        <v>51256</v>
      </c>
      <c r="C231" s="74">
        <f t="shared" si="26"/>
        <v>30</v>
      </c>
      <c r="D231" s="74">
        <f>SUM(C$13:C231)</f>
        <v>6664</v>
      </c>
      <c r="E231" s="75">
        <f t="shared" si="22"/>
        <v>1.6541901184316972</v>
      </c>
      <c r="F231" s="76">
        <f t="shared" si="23"/>
        <v>1.642099298425137</v>
      </c>
      <c r="G231" s="79">
        <f t="shared" si="27"/>
        <v>49.443986457772553</v>
      </c>
      <c r="H231" s="79">
        <f t="shared" si="24"/>
        <v>2.0526241230314213E-3</v>
      </c>
      <c r="I231" s="66">
        <f t="shared" si="25"/>
        <v>183175.05058833593</v>
      </c>
    </row>
    <row r="232" spans="1:9" x14ac:dyDescent="0.45">
      <c r="A232" s="1">
        <v>220</v>
      </c>
      <c r="B232" s="73">
        <f t="shared" si="21"/>
        <v>51287</v>
      </c>
      <c r="C232" s="74">
        <f t="shared" si="26"/>
        <v>31</v>
      </c>
      <c r="D232" s="74">
        <f>SUM(C$13:C232)</f>
        <v>6695</v>
      </c>
      <c r="E232" s="75">
        <f t="shared" si="22"/>
        <v>1.642099298425137</v>
      </c>
      <c r="F232" s="76">
        <f t="shared" si="23"/>
        <v>1.6297533234043537</v>
      </c>
      <c r="G232" s="79">
        <f t="shared" si="27"/>
        <v>50.713330524653429</v>
      </c>
      <c r="H232" s="79">
        <f t="shared" si="24"/>
        <v>2.0371916542554422E-3</v>
      </c>
      <c r="I232" s="66">
        <f t="shared" si="25"/>
        <v>183225.76391886058</v>
      </c>
    </row>
    <row r="233" spans="1:9" x14ac:dyDescent="0.45">
      <c r="A233" s="1">
        <v>221</v>
      </c>
      <c r="B233" s="73">
        <f t="shared" si="21"/>
        <v>51317</v>
      </c>
      <c r="C233" s="74">
        <f t="shared" si="26"/>
        <v>30</v>
      </c>
      <c r="D233" s="74">
        <f>SUM(C$13:C233)</f>
        <v>6725</v>
      </c>
      <c r="E233" s="75">
        <f t="shared" si="22"/>
        <v>1.6297533234043537</v>
      </c>
      <c r="F233" s="76">
        <f t="shared" si="23"/>
        <v>1.6179464018043193</v>
      </c>
      <c r="G233" s="79">
        <f t="shared" si="27"/>
        <v>48.715152487158775</v>
      </c>
      <c r="H233" s="79">
        <f t="shared" si="24"/>
        <v>2.0224330022553991E-3</v>
      </c>
      <c r="I233" s="66">
        <f t="shared" si="25"/>
        <v>183274.47907134774</v>
      </c>
    </row>
    <row r="234" spans="1:9" x14ac:dyDescent="0.45">
      <c r="A234" s="1">
        <v>222</v>
      </c>
      <c r="B234" s="73">
        <f t="shared" si="21"/>
        <v>51348</v>
      </c>
      <c r="C234" s="74">
        <f t="shared" si="26"/>
        <v>31</v>
      </c>
      <c r="D234" s="74">
        <f>SUM(C$13:C234)</f>
        <v>6756</v>
      </c>
      <c r="E234" s="75">
        <f t="shared" si="22"/>
        <v>1.6179464018043193</v>
      </c>
      <c r="F234" s="76">
        <f t="shared" si="23"/>
        <v>1.6058890458400199</v>
      </c>
      <c r="G234" s="79">
        <f t="shared" si="27"/>
        <v>49.969076649373164</v>
      </c>
      <c r="H234" s="79">
        <f t="shared" si="24"/>
        <v>2.0073613073000249E-3</v>
      </c>
      <c r="I234" s="66">
        <f t="shared" si="25"/>
        <v>183324.44814799711</v>
      </c>
    </row>
    <row r="235" spans="1:9" x14ac:dyDescent="0.45">
      <c r="A235" s="1">
        <v>223</v>
      </c>
      <c r="B235" s="73">
        <f t="shared" si="21"/>
        <v>51379</v>
      </c>
      <c r="C235" s="74">
        <f t="shared" si="26"/>
        <v>31</v>
      </c>
      <c r="D235" s="74">
        <f>SUM(C$13:C235)</f>
        <v>6787</v>
      </c>
      <c r="E235" s="75">
        <f t="shared" si="22"/>
        <v>1.6058890458400199</v>
      </c>
      <c r="F235" s="76">
        <f t="shared" si="23"/>
        <v>1.5939748170122787</v>
      </c>
      <c r="G235" s="79">
        <f t="shared" si="27"/>
        <v>49.597523156204261</v>
      </c>
      <c r="H235" s="79">
        <f t="shared" si="24"/>
        <v>1.9924685212653484E-3</v>
      </c>
      <c r="I235" s="66">
        <f t="shared" si="25"/>
        <v>183374.04567115332</v>
      </c>
    </row>
    <row r="236" spans="1:9" x14ac:dyDescent="0.45">
      <c r="A236" s="1">
        <v>224</v>
      </c>
      <c r="B236" s="73">
        <f t="shared" si="21"/>
        <v>51409</v>
      </c>
      <c r="C236" s="74">
        <f t="shared" si="26"/>
        <v>30</v>
      </c>
      <c r="D236" s="74">
        <f>SUM(C$13:C236)</f>
        <v>6817</v>
      </c>
      <c r="E236" s="75">
        <f t="shared" si="22"/>
        <v>1.5939748170122787</v>
      </c>
      <c r="F236" s="76">
        <f t="shared" si="23"/>
        <v>1.5825790032553422</v>
      </c>
      <c r="G236" s="79">
        <f t="shared" si="27"/>
        <v>47.647980245237704</v>
      </c>
      <c r="H236" s="79">
        <f t="shared" si="24"/>
        <v>1.9782237540691776E-3</v>
      </c>
      <c r="I236" s="66">
        <f t="shared" si="25"/>
        <v>183421.69365139856</v>
      </c>
    </row>
    <row r="237" spans="1:9" x14ac:dyDescent="0.45">
      <c r="A237" s="1">
        <v>225</v>
      </c>
      <c r="B237" s="73">
        <f t="shared" si="21"/>
        <v>51440</v>
      </c>
      <c r="C237" s="74">
        <f t="shared" si="26"/>
        <v>31</v>
      </c>
      <c r="D237" s="74">
        <f>SUM(C$13:C237)</f>
        <v>6848</v>
      </c>
      <c r="E237" s="75">
        <f t="shared" si="22"/>
        <v>1.5825790032553422</v>
      </c>
      <c r="F237" s="76">
        <f t="shared" si="23"/>
        <v>1.5709396658776247</v>
      </c>
      <c r="G237" s="79">
        <f t="shared" si="27"/>
        <v>48.879184236982837</v>
      </c>
      <c r="H237" s="79">
        <f t="shared" si="24"/>
        <v>1.9636745823470307E-3</v>
      </c>
      <c r="I237" s="66">
        <f t="shared" si="25"/>
        <v>183470.57283563554</v>
      </c>
    </row>
    <row r="238" spans="1:9" x14ac:dyDescent="0.45">
      <c r="A238" s="1">
        <v>226</v>
      </c>
      <c r="B238" s="73">
        <f t="shared" si="21"/>
        <v>51470</v>
      </c>
      <c r="C238" s="74">
        <f t="shared" si="26"/>
        <v>30</v>
      </c>
      <c r="D238" s="74">
        <f>SUM(C$13:C238)</f>
        <v>6878</v>
      </c>
      <c r="E238" s="75">
        <f t="shared" si="22"/>
        <v>1.5709396658776247</v>
      </c>
      <c r="F238" s="76">
        <f t="shared" si="23"/>
        <v>1.5598056497966877</v>
      </c>
      <c r="G238" s="79">
        <f t="shared" si="27"/>
        <v>46.960862962761894</v>
      </c>
      <c r="H238" s="79">
        <f t="shared" si="24"/>
        <v>1.9497570622458596E-3</v>
      </c>
      <c r="I238" s="66">
        <f t="shared" si="25"/>
        <v>183517.5336985983</v>
      </c>
    </row>
    <row r="239" spans="1:9" x14ac:dyDescent="0.45">
      <c r="A239" s="1">
        <v>227</v>
      </c>
      <c r="B239" s="73">
        <f t="shared" si="21"/>
        <v>51501</v>
      </c>
      <c r="C239" s="74">
        <f t="shared" si="26"/>
        <v>31</v>
      </c>
      <c r="D239" s="74">
        <f>SUM(C$13:C239)</f>
        <v>6909</v>
      </c>
      <c r="E239" s="75">
        <f t="shared" si="22"/>
        <v>1.5598056497966877</v>
      </c>
      <c r="F239" s="76">
        <f t="shared" si="23"/>
        <v>1.5484325578928018</v>
      </c>
      <c r="G239" s="79">
        <f t="shared" si="27"/>
        <v>48.177348206343595</v>
      </c>
      <c r="H239" s="79">
        <f t="shared" si="24"/>
        <v>1.9355406973660021E-3</v>
      </c>
      <c r="I239" s="66">
        <f t="shared" si="25"/>
        <v>183565.71104680464</v>
      </c>
    </row>
    <row r="240" spans="1:9" x14ac:dyDescent="0.45">
      <c r="A240" s="1">
        <v>228</v>
      </c>
      <c r="B240" s="73">
        <f t="shared" si="21"/>
        <v>51532</v>
      </c>
      <c r="C240" s="74">
        <f t="shared" si="26"/>
        <v>31</v>
      </c>
      <c r="D240" s="74">
        <f>SUM(C$13:C240)</f>
        <v>6940</v>
      </c>
      <c r="E240" s="75">
        <f t="shared" si="22"/>
        <v>1.5484325578928018</v>
      </c>
      <c r="F240" s="76">
        <f t="shared" si="23"/>
        <v>1.5371915682711326</v>
      </c>
      <c r="G240" s="79">
        <f t="shared" si="27"/>
        <v>47.826835424959427</v>
      </c>
      <c r="H240" s="79">
        <f t="shared" si="24"/>
        <v>1.9214894603389156E-3</v>
      </c>
      <c r="I240" s="66">
        <f t="shared" si="25"/>
        <v>183613.5378822296</v>
      </c>
    </row>
    <row r="241" spans="1:9" x14ac:dyDescent="0.45">
      <c r="A241" s="1">
        <v>229</v>
      </c>
      <c r="B241" s="73">
        <f t="shared" si="21"/>
        <v>51560</v>
      </c>
      <c r="C241" s="74">
        <f t="shared" si="26"/>
        <v>28</v>
      </c>
      <c r="D241" s="74">
        <f>SUM(C$13:C241)</f>
        <v>6968</v>
      </c>
      <c r="E241" s="75">
        <f t="shared" si="22"/>
        <v>1.5371915682711326</v>
      </c>
      <c r="F241" s="76">
        <f t="shared" si="23"/>
        <v>1.5271502129057142</v>
      </c>
      <c r="G241" s="79">
        <f t="shared" si="27"/>
        <v>42.900539253343595</v>
      </c>
      <c r="H241" s="79">
        <f t="shared" si="24"/>
        <v>1.9089377661321426E-3</v>
      </c>
      <c r="I241" s="66">
        <f t="shared" si="25"/>
        <v>183656.43842148295</v>
      </c>
    </row>
    <row r="242" spans="1:9" x14ac:dyDescent="0.45">
      <c r="A242" s="1">
        <v>230</v>
      </c>
      <c r="B242" s="73">
        <f t="shared" si="21"/>
        <v>51591</v>
      </c>
      <c r="C242" s="74">
        <f t="shared" si="26"/>
        <v>31</v>
      </c>
      <c r="D242" s="74">
        <f>SUM(C$13:C242)</f>
        <v>6999</v>
      </c>
      <c r="E242" s="75">
        <f t="shared" si="22"/>
        <v>1.5271502129057142</v>
      </c>
      <c r="F242" s="76">
        <f t="shared" si="23"/>
        <v>1.5161548753824912</v>
      </c>
      <c r="G242" s="79">
        <f t="shared" si="27"/>
        <v>47.170900468248874</v>
      </c>
      <c r="H242" s="79">
        <f t="shared" si="24"/>
        <v>1.8951935942281139E-3</v>
      </c>
      <c r="I242" s="66">
        <f t="shared" si="25"/>
        <v>183703.6093219512</v>
      </c>
    </row>
    <row r="243" spans="1:9" x14ac:dyDescent="0.45">
      <c r="A243" s="1">
        <v>231</v>
      </c>
      <c r="B243" s="73">
        <f t="shared" si="21"/>
        <v>51621</v>
      </c>
      <c r="C243" s="74">
        <f t="shared" si="26"/>
        <v>30</v>
      </c>
      <c r="D243" s="74">
        <f>SUM(C$13:C243)</f>
        <v>7029</v>
      </c>
      <c r="E243" s="75">
        <f t="shared" si="22"/>
        <v>1.5161548753824912</v>
      </c>
      <c r="F243" s="76">
        <f t="shared" si="23"/>
        <v>1.5056343292725431</v>
      </c>
      <c r="G243" s="79">
        <f t="shared" si="27"/>
        <v>45.326545045478269</v>
      </c>
      <c r="H243" s="79">
        <f t="shared" si="24"/>
        <v>1.882042911590679E-3</v>
      </c>
      <c r="I243" s="66">
        <f t="shared" si="25"/>
        <v>183748.93586699668</v>
      </c>
    </row>
    <row r="244" spans="1:9" x14ac:dyDescent="0.45">
      <c r="A244" s="1">
        <v>232</v>
      </c>
      <c r="B244" s="73">
        <f t="shared" si="21"/>
        <v>51652</v>
      </c>
      <c r="C244" s="74">
        <f t="shared" si="26"/>
        <v>31</v>
      </c>
      <c r="D244" s="74">
        <f>SUM(C$13:C244)</f>
        <v>7060</v>
      </c>
      <c r="E244" s="75">
        <f t="shared" si="22"/>
        <v>1.5056343292725431</v>
      </c>
      <c r="F244" s="76">
        <f t="shared" si="23"/>
        <v>1.4948852765167981</v>
      </c>
      <c r="G244" s="79">
        <f t="shared" si="27"/>
        <v>46.507735561113805</v>
      </c>
      <c r="H244" s="79">
        <f t="shared" si="24"/>
        <v>1.8686065956459977E-3</v>
      </c>
      <c r="I244" s="66">
        <f t="shared" si="25"/>
        <v>183795.44360255779</v>
      </c>
    </row>
    <row r="245" spans="1:9" x14ac:dyDescent="0.45">
      <c r="A245" s="1">
        <v>233</v>
      </c>
      <c r="B245" s="73">
        <f t="shared" si="21"/>
        <v>51682</v>
      </c>
      <c r="C245" s="74">
        <f t="shared" si="26"/>
        <v>30</v>
      </c>
      <c r="D245" s="74">
        <f>SUM(C$13:C245)</f>
        <v>7090</v>
      </c>
      <c r="E245" s="75">
        <f t="shared" si="22"/>
        <v>1.4948852765167981</v>
      </c>
      <c r="F245" s="76">
        <f t="shared" si="23"/>
        <v>1.4845993947127909</v>
      </c>
      <c r="G245" s="79">
        <f t="shared" si="27"/>
        <v>44.691985993384151</v>
      </c>
      <c r="H245" s="79">
        <f t="shared" si="24"/>
        <v>1.8557492433909886E-3</v>
      </c>
      <c r="I245" s="66">
        <f t="shared" si="25"/>
        <v>183840.13558855117</v>
      </c>
    </row>
    <row r="246" spans="1:9" x14ac:dyDescent="0.45">
      <c r="A246" s="1">
        <v>234</v>
      </c>
      <c r="B246" s="73">
        <f t="shared" si="21"/>
        <v>51713</v>
      </c>
      <c r="C246" s="74">
        <f t="shared" si="26"/>
        <v>31</v>
      </c>
      <c r="D246" s="74">
        <f>SUM(C$13:C246)</f>
        <v>7121</v>
      </c>
      <c r="E246" s="75">
        <f t="shared" si="22"/>
        <v>1.4845993947127909</v>
      </c>
      <c r="F246" s="76">
        <f t="shared" si="23"/>
        <v>1.474089104729843</v>
      </c>
      <c r="G246" s="79">
        <f t="shared" si="27"/>
        <v>45.859363094437867</v>
      </c>
      <c r="H246" s="79">
        <f t="shared" si="24"/>
        <v>1.8426113809123037E-3</v>
      </c>
      <c r="I246" s="66">
        <f t="shared" si="25"/>
        <v>183885.99495164561</v>
      </c>
    </row>
    <row r="247" spans="1:9" x14ac:dyDescent="0.45">
      <c r="A247" s="1">
        <v>235</v>
      </c>
      <c r="B247" s="73">
        <f t="shared" si="21"/>
        <v>51744</v>
      </c>
      <c r="C247" s="74">
        <f t="shared" si="26"/>
        <v>31</v>
      </c>
      <c r="D247" s="74">
        <f>SUM(C$13:C247)</f>
        <v>7152</v>
      </c>
      <c r="E247" s="75">
        <f t="shared" si="22"/>
        <v>1.474089104729843</v>
      </c>
      <c r="F247" s="76">
        <f t="shared" si="23"/>
        <v>1.463697363997013</v>
      </c>
      <c r="G247" s="79">
        <f t="shared" si="27"/>
        <v>45.535386395058595</v>
      </c>
      <c r="H247" s="79">
        <f t="shared" si="24"/>
        <v>1.8296217049962663E-3</v>
      </c>
      <c r="I247" s="66">
        <f t="shared" si="25"/>
        <v>183931.53033804067</v>
      </c>
    </row>
    <row r="248" spans="1:9" x14ac:dyDescent="0.45">
      <c r="A248" s="1">
        <v>236</v>
      </c>
      <c r="B248" s="73">
        <f t="shared" si="21"/>
        <v>51774</v>
      </c>
      <c r="C248" s="74">
        <f t="shared" si="26"/>
        <v>30</v>
      </c>
      <c r="D248" s="74">
        <f>SUM(C$13:C248)</f>
        <v>7182</v>
      </c>
      <c r="E248" s="75">
        <f t="shared" si="22"/>
        <v>1.463697363997013</v>
      </c>
      <c r="F248" s="76">
        <f t="shared" si="23"/>
        <v>1.4537519906436374</v>
      </c>
      <c r="G248" s="79">
        <f t="shared" si="27"/>
        <v>43.761469094402855</v>
      </c>
      <c r="H248" s="79">
        <f t="shared" si="24"/>
        <v>1.8171899883045468E-3</v>
      </c>
      <c r="I248" s="66">
        <f t="shared" si="25"/>
        <v>183975.29180713507</v>
      </c>
    </row>
    <row r="249" spans="1:9" x14ac:dyDescent="0.45">
      <c r="A249" s="1">
        <v>237</v>
      </c>
      <c r="B249" s="73">
        <f t="shared" si="21"/>
        <v>51805</v>
      </c>
      <c r="C249" s="74">
        <f t="shared" si="26"/>
        <v>31</v>
      </c>
      <c r="D249" s="74">
        <f>SUM(C$13:C249)</f>
        <v>7213</v>
      </c>
      <c r="E249" s="75">
        <f t="shared" si="22"/>
        <v>1.4537519906436374</v>
      </c>
      <c r="F249" s="76">
        <f t="shared" si="23"/>
        <v>1.4435882121562693</v>
      </c>
      <c r="G249" s="79">
        <f t="shared" si="27"/>
        <v>44.908478401019238</v>
      </c>
      <c r="H249" s="79">
        <f t="shared" si="24"/>
        <v>1.8044852651953366E-3</v>
      </c>
      <c r="I249" s="66">
        <f t="shared" si="25"/>
        <v>184020.20028553609</v>
      </c>
    </row>
    <row r="250" spans="1:9" x14ac:dyDescent="0.45">
      <c r="A250" s="1">
        <v>238</v>
      </c>
      <c r="B250" s="73">
        <f t="shared" si="21"/>
        <v>51835</v>
      </c>
      <c r="C250" s="74">
        <f t="shared" si="26"/>
        <v>30</v>
      </c>
      <c r="D250" s="74">
        <f>SUM(C$13:C250)</f>
        <v>7243</v>
      </c>
      <c r="E250" s="75">
        <f t="shared" si="22"/>
        <v>1.4435882121562693</v>
      </c>
      <c r="F250" s="76">
        <f t="shared" si="23"/>
        <v>1.4338601154043507</v>
      </c>
      <c r="G250" s="79">
        <f t="shared" si="27"/>
        <v>43.161461802141275</v>
      </c>
      <c r="H250" s="79">
        <f t="shared" si="24"/>
        <v>1.7923251442554383E-3</v>
      </c>
      <c r="I250" s="66">
        <f t="shared" si="25"/>
        <v>184063.36174733823</v>
      </c>
    </row>
    <row r="251" spans="1:9" x14ac:dyDescent="0.45">
      <c r="A251" s="1">
        <v>239</v>
      </c>
      <c r="B251" s="73">
        <f t="shared" si="21"/>
        <v>51866</v>
      </c>
      <c r="C251" s="74">
        <f t="shared" si="26"/>
        <v>31</v>
      </c>
      <c r="D251" s="74">
        <f>SUM(C$13:C251)</f>
        <v>7274</v>
      </c>
      <c r="E251" s="75">
        <f t="shared" si="22"/>
        <v>1.4338601154043507</v>
      </c>
      <c r="F251" s="76">
        <f t="shared" si="23"/>
        <v>1.4239174792496407</v>
      </c>
      <c r="G251" s="79">
        <f t="shared" si="27"/>
        <v>44.295266756409546</v>
      </c>
      <c r="H251" s="79">
        <f t="shared" si="24"/>
        <v>1.7798968490620509E-3</v>
      </c>
      <c r="I251" s="66">
        <f t="shared" si="25"/>
        <v>184107.65701409464</v>
      </c>
    </row>
    <row r="252" spans="1:9" x14ac:dyDescent="0.45">
      <c r="A252" s="1">
        <v>240</v>
      </c>
      <c r="B252" s="73">
        <f t="shared" si="21"/>
        <v>51897</v>
      </c>
      <c r="C252" s="74">
        <f t="shared" si="26"/>
        <v>31</v>
      </c>
      <c r="D252" s="74">
        <f>SUM(C$13:C252)</f>
        <v>7305</v>
      </c>
      <c r="E252" s="75">
        <f t="shared" si="22"/>
        <v>1.4239174792496407</v>
      </c>
      <c r="F252" s="76">
        <f t="shared" si="23"/>
        <v>1.4140846963024414</v>
      </c>
      <c r="G252" s="79">
        <f t="shared" si="27"/>
        <v>43.988752095639938</v>
      </c>
      <c r="H252" s="79">
        <f t="shared" si="24"/>
        <v>1.7676058703780518E-3</v>
      </c>
      <c r="I252" s="66">
        <f t="shared" si="25"/>
        <v>184151.64576619028</v>
      </c>
    </row>
    <row r="253" spans="1:9" x14ac:dyDescent="0.45">
      <c r="A253" s="3"/>
      <c r="B253" s="3"/>
      <c r="C253" s="2"/>
      <c r="D253" s="66"/>
      <c r="E253" s="66"/>
      <c r="F253" s="2"/>
      <c r="G253" s="2"/>
      <c r="H253" s="66"/>
      <c r="I253" s="2"/>
    </row>
    <row r="254" spans="1:9" x14ac:dyDescent="0.45">
      <c r="A254" s="3"/>
      <c r="B254" s="3"/>
      <c r="C254" s="2"/>
      <c r="D254" s="66"/>
      <c r="E254" s="66"/>
      <c r="F254" s="2"/>
      <c r="G254" s="2"/>
      <c r="H254" s="66"/>
      <c r="I254" s="2"/>
    </row>
    <row r="255" spans="1:9" x14ac:dyDescent="0.45">
      <c r="A255" s="3"/>
      <c r="B255" s="3"/>
      <c r="C255" s="2"/>
      <c r="D255" s="66"/>
      <c r="E255" s="66"/>
      <c r="F255" s="2"/>
      <c r="G255" s="2"/>
      <c r="H255" s="66"/>
      <c r="I255" s="2"/>
    </row>
    <row r="256" spans="1:9" x14ac:dyDescent="0.45">
      <c r="A256" s="3"/>
      <c r="B256" s="3"/>
      <c r="C256" s="2"/>
      <c r="D256" s="66"/>
      <c r="E256" s="66"/>
      <c r="F256" s="2"/>
      <c r="G256" s="2"/>
      <c r="H256" s="66"/>
      <c r="I256" s="2"/>
    </row>
    <row r="257" spans="1:9" x14ac:dyDescent="0.45">
      <c r="A257" s="3"/>
      <c r="B257" s="3"/>
      <c r="C257" s="2"/>
      <c r="D257" s="66"/>
      <c r="E257" s="66"/>
      <c r="F257" s="2"/>
      <c r="G257" s="2"/>
      <c r="H257" s="66"/>
      <c r="I257" s="2"/>
    </row>
    <row r="258" spans="1:9" x14ac:dyDescent="0.45">
      <c r="A258" s="3"/>
      <c r="B258" s="3"/>
      <c r="C258" s="2"/>
      <c r="D258" s="66"/>
      <c r="E258" s="66"/>
      <c r="F258" s="2"/>
      <c r="G258" s="2"/>
      <c r="H258" s="66"/>
      <c r="I258" s="2"/>
    </row>
    <row r="259" spans="1:9" x14ac:dyDescent="0.45">
      <c r="A259" s="3"/>
      <c r="B259" s="3"/>
      <c r="C259" s="2"/>
      <c r="D259" s="66"/>
      <c r="E259" s="66"/>
      <c r="F259" s="2"/>
      <c r="G259" s="2"/>
      <c r="H259" s="66"/>
      <c r="I259" s="2"/>
    </row>
    <row r="260" spans="1:9" x14ac:dyDescent="0.45">
      <c r="A260" s="3"/>
      <c r="B260" s="3"/>
      <c r="C260" s="2"/>
      <c r="D260" s="66"/>
      <c r="E260" s="66"/>
      <c r="F260" s="2"/>
      <c r="G260" s="2"/>
      <c r="H260" s="66"/>
      <c r="I260" s="2"/>
    </row>
    <row r="261" spans="1:9" x14ac:dyDescent="0.45">
      <c r="A261" s="3"/>
      <c r="B261" s="3"/>
      <c r="C261" s="2"/>
      <c r="D261" s="66"/>
      <c r="E261" s="66"/>
      <c r="F261" s="2"/>
      <c r="G261" s="2"/>
      <c r="H261" s="66"/>
      <c r="I261" s="2"/>
    </row>
    <row r="262" spans="1:9" x14ac:dyDescent="0.45">
      <c r="A262" s="3"/>
      <c r="B262" s="3"/>
      <c r="C262" s="2"/>
      <c r="D262" s="66"/>
      <c r="E262" s="66"/>
      <c r="F262" s="2"/>
      <c r="G262" s="2"/>
      <c r="H262" s="66"/>
      <c r="I262" s="2"/>
    </row>
    <row r="263" spans="1:9" x14ac:dyDescent="0.45">
      <c r="A263" s="3"/>
      <c r="B263" s="3"/>
      <c r="C263" s="2"/>
      <c r="D263" s="66"/>
      <c r="E263" s="66"/>
      <c r="F263" s="2"/>
      <c r="G263" s="2"/>
      <c r="H263" s="66"/>
      <c r="I263" s="2"/>
    </row>
    <row r="264" spans="1:9" x14ac:dyDescent="0.45">
      <c r="A264" s="3"/>
      <c r="B264" s="3"/>
      <c r="C264" s="2"/>
      <c r="D264" s="66"/>
      <c r="E264" s="66"/>
      <c r="F264" s="2"/>
      <c r="G264" s="2"/>
      <c r="H264" s="66"/>
      <c r="I264" s="2"/>
    </row>
    <row r="265" spans="1:9" x14ac:dyDescent="0.45">
      <c r="A265" s="3"/>
      <c r="B265" s="3"/>
      <c r="C265" s="2"/>
      <c r="D265" s="66"/>
      <c r="E265" s="66"/>
      <c r="F265" s="2"/>
      <c r="G265" s="2"/>
      <c r="H265" s="66"/>
      <c r="I265" s="2"/>
    </row>
    <row r="266" spans="1:9" x14ac:dyDescent="0.45">
      <c r="A266" s="3"/>
      <c r="B266" s="3"/>
      <c r="C266" s="2"/>
      <c r="D266" s="66"/>
      <c r="E266" s="66"/>
      <c r="F266" s="2"/>
      <c r="G266" s="2"/>
      <c r="H266" s="66"/>
      <c r="I266" s="2"/>
    </row>
    <row r="267" spans="1:9" x14ac:dyDescent="0.45">
      <c r="A267" s="3"/>
      <c r="B267" s="3"/>
      <c r="C267" s="2"/>
      <c r="D267" s="66"/>
      <c r="E267" s="66"/>
      <c r="F267" s="2"/>
      <c r="G267" s="2"/>
      <c r="H267" s="66"/>
      <c r="I267" s="2"/>
    </row>
    <row r="268" spans="1:9" x14ac:dyDescent="0.45">
      <c r="A268" s="3"/>
      <c r="B268" s="3"/>
      <c r="C268" s="2"/>
      <c r="D268" s="66"/>
      <c r="E268" s="66"/>
      <c r="F268" s="2"/>
      <c r="G268" s="2"/>
      <c r="H268" s="66"/>
      <c r="I268" s="2"/>
    </row>
    <row r="269" spans="1:9" x14ac:dyDescent="0.45">
      <c r="A269" s="3"/>
      <c r="B269" s="3"/>
      <c r="C269" s="2"/>
      <c r="D269" s="66"/>
      <c r="E269" s="66"/>
      <c r="F269" s="2"/>
      <c r="G269" s="2"/>
      <c r="H269" s="66"/>
      <c r="I269" s="2"/>
    </row>
    <row r="270" spans="1:9" x14ac:dyDescent="0.45">
      <c r="A270" s="3"/>
      <c r="B270" s="3"/>
      <c r="C270" s="2"/>
      <c r="D270" s="66"/>
      <c r="E270" s="66"/>
      <c r="F270" s="2"/>
      <c r="G270" s="2"/>
      <c r="H270" s="66"/>
      <c r="I270" s="2"/>
    </row>
    <row r="271" spans="1:9" x14ac:dyDescent="0.45">
      <c r="A271" s="3"/>
      <c r="B271" s="3"/>
      <c r="C271" s="2"/>
      <c r="D271" s="66"/>
      <c r="E271" s="66"/>
      <c r="F271" s="2"/>
      <c r="G271" s="2"/>
      <c r="H271" s="66"/>
      <c r="I271" s="2"/>
    </row>
    <row r="272" spans="1:9" x14ac:dyDescent="0.45">
      <c r="A272" s="3"/>
      <c r="B272" s="3"/>
      <c r="C272" s="2"/>
      <c r="D272" s="66"/>
      <c r="E272" s="66"/>
      <c r="F272" s="2"/>
      <c r="G272" s="2"/>
      <c r="H272" s="66"/>
      <c r="I272" s="2"/>
    </row>
    <row r="273" spans="1:9" x14ac:dyDescent="0.45">
      <c r="A273" s="3"/>
      <c r="B273" s="3"/>
      <c r="C273" s="2"/>
      <c r="D273" s="66"/>
      <c r="E273" s="66"/>
      <c r="F273" s="2"/>
      <c r="G273" s="2"/>
      <c r="H273" s="66"/>
      <c r="I273" s="2"/>
    </row>
    <row r="274" spans="1:9" x14ac:dyDescent="0.45">
      <c r="A274" s="3"/>
      <c r="B274" s="3"/>
      <c r="C274" s="2"/>
      <c r="D274" s="66"/>
      <c r="E274" s="66"/>
      <c r="F274" s="2"/>
      <c r="G274" s="2"/>
      <c r="H274" s="66"/>
      <c r="I274" s="2"/>
    </row>
    <row r="275" spans="1:9" x14ac:dyDescent="0.45">
      <c r="A275" s="3"/>
      <c r="B275" s="3"/>
      <c r="C275" s="2"/>
      <c r="D275" s="66"/>
      <c r="E275" s="66"/>
      <c r="F275" s="2"/>
      <c r="G275" s="2"/>
      <c r="H275" s="66"/>
      <c r="I275" s="2"/>
    </row>
    <row r="276" spans="1:9" x14ac:dyDescent="0.45">
      <c r="A276" s="3"/>
      <c r="B276" s="3"/>
      <c r="C276" s="2"/>
      <c r="D276" s="66"/>
      <c r="E276" s="66"/>
      <c r="F276" s="2"/>
      <c r="G276" s="2"/>
      <c r="H276" s="66"/>
      <c r="I276" s="2"/>
    </row>
    <row r="277" spans="1:9" x14ac:dyDescent="0.45">
      <c r="A277" s="3"/>
      <c r="B277" s="3"/>
      <c r="C277" s="2"/>
      <c r="D277" s="66"/>
      <c r="E277" s="66"/>
      <c r="F277" s="2"/>
      <c r="G277" s="2"/>
      <c r="H277" s="66"/>
      <c r="I277" s="2"/>
    </row>
    <row r="278" spans="1:9" x14ac:dyDescent="0.45">
      <c r="A278" s="3"/>
      <c r="B278" s="3"/>
      <c r="C278" s="2"/>
      <c r="D278" s="66"/>
      <c r="E278" s="66"/>
      <c r="F278" s="2"/>
      <c r="G278" s="2"/>
      <c r="H278" s="66"/>
      <c r="I278" s="2"/>
    </row>
    <row r="279" spans="1:9" x14ac:dyDescent="0.45">
      <c r="A279" s="3"/>
      <c r="B279" s="3"/>
      <c r="C279" s="2"/>
      <c r="D279" s="66"/>
      <c r="E279" s="66"/>
      <c r="F279" s="2"/>
      <c r="G279" s="2"/>
      <c r="H279" s="66"/>
      <c r="I279" s="2"/>
    </row>
    <row r="280" spans="1:9" x14ac:dyDescent="0.45">
      <c r="A280" s="3"/>
      <c r="B280" s="3"/>
      <c r="C280" s="2"/>
      <c r="D280" s="66"/>
      <c r="E280" s="66"/>
      <c r="F280" s="2"/>
      <c r="G280" s="2"/>
      <c r="H280" s="66"/>
      <c r="I280" s="2"/>
    </row>
    <row r="281" spans="1:9" x14ac:dyDescent="0.45">
      <c r="A281" s="3"/>
      <c r="B281" s="3"/>
      <c r="C281" s="2"/>
      <c r="D281" s="66"/>
      <c r="E281" s="66"/>
      <c r="F281" s="2"/>
      <c r="G281" s="2"/>
      <c r="H281" s="66"/>
      <c r="I281" s="2"/>
    </row>
    <row r="282" spans="1:9" x14ac:dyDescent="0.45">
      <c r="A282" s="3"/>
      <c r="B282" s="3"/>
      <c r="C282" s="2"/>
      <c r="D282" s="66"/>
      <c r="E282" s="66"/>
      <c r="F282" s="2"/>
      <c r="G282" s="2"/>
      <c r="H282" s="66"/>
      <c r="I282" s="2"/>
    </row>
    <row r="283" spans="1:9" x14ac:dyDescent="0.45">
      <c r="A283" s="3"/>
      <c r="B283" s="3"/>
      <c r="C283" s="2"/>
      <c r="D283" s="66"/>
      <c r="E283" s="66"/>
      <c r="F283" s="2"/>
      <c r="G283" s="2"/>
      <c r="H283" s="66"/>
      <c r="I283" s="2"/>
    </row>
    <row r="284" spans="1:9" x14ac:dyDescent="0.45">
      <c r="A284" s="3"/>
      <c r="B284" s="3"/>
      <c r="C284" s="2"/>
      <c r="D284" s="66"/>
      <c r="E284" s="66"/>
      <c r="F284" s="2"/>
      <c r="G284" s="2"/>
      <c r="H284" s="66"/>
      <c r="I284" s="2"/>
    </row>
    <row r="285" spans="1:9" x14ac:dyDescent="0.45">
      <c r="A285" s="3"/>
      <c r="B285" s="3"/>
      <c r="C285" s="2"/>
      <c r="D285" s="66"/>
      <c r="E285" s="66"/>
      <c r="F285" s="2"/>
      <c r="G285" s="2"/>
      <c r="H285" s="66"/>
      <c r="I285" s="2"/>
    </row>
    <row r="286" spans="1:9" x14ac:dyDescent="0.45">
      <c r="A286" s="3"/>
      <c r="B286" s="3"/>
      <c r="C286" s="2"/>
      <c r="D286" s="66"/>
      <c r="E286" s="66"/>
      <c r="F286" s="2"/>
      <c r="G286" s="2"/>
      <c r="H286" s="66"/>
      <c r="I286" s="2"/>
    </row>
    <row r="287" spans="1:9" x14ac:dyDescent="0.45">
      <c r="A287" s="3"/>
      <c r="B287" s="3"/>
      <c r="C287" s="2"/>
      <c r="D287" s="66"/>
      <c r="E287" s="66"/>
      <c r="F287" s="2"/>
      <c r="G287" s="2"/>
      <c r="H287" s="66"/>
      <c r="I287" s="2"/>
    </row>
    <row r="288" spans="1:9" x14ac:dyDescent="0.45">
      <c r="A288" s="3"/>
      <c r="B288" s="3"/>
      <c r="C288" s="2"/>
      <c r="D288" s="66"/>
      <c r="E288" s="66"/>
      <c r="F288" s="2"/>
      <c r="G288" s="2"/>
      <c r="H288" s="66"/>
      <c r="I288" s="2"/>
    </row>
    <row r="289" spans="1:9" x14ac:dyDescent="0.45">
      <c r="A289" s="3"/>
      <c r="B289" s="3"/>
      <c r="C289" s="2"/>
      <c r="D289" s="66"/>
      <c r="E289" s="66"/>
      <c r="F289" s="2"/>
      <c r="G289" s="2"/>
      <c r="H289" s="66"/>
      <c r="I289" s="2"/>
    </row>
    <row r="290" spans="1:9" x14ac:dyDescent="0.45">
      <c r="A290" s="3"/>
      <c r="B290" s="3"/>
      <c r="C290" s="2"/>
      <c r="D290" s="66"/>
      <c r="E290" s="66"/>
      <c r="F290" s="2"/>
      <c r="G290" s="2"/>
      <c r="H290" s="66"/>
      <c r="I290" s="2"/>
    </row>
    <row r="291" spans="1:9" x14ac:dyDescent="0.45">
      <c r="A291" s="3"/>
      <c r="B291" s="3"/>
      <c r="C291" s="2"/>
      <c r="D291" s="66"/>
      <c r="E291" s="66"/>
      <c r="F291" s="2"/>
      <c r="G291" s="2"/>
      <c r="H291" s="66"/>
      <c r="I291" s="2"/>
    </row>
    <row r="292" spans="1:9" x14ac:dyDescent="0.45">
      <c r="A292" s="3"/>
      <c r="B292" s="3"/>
      <c r="C292" s="2"/>
      <c r="D292" s="66"/>
      <c r="E292" s="66"/>
      <c r="F292" s="2"/>
      <c r="G292" s="2"/>
      <c r="H292" s="66"/>
      <c r="I292" s="2"/>
    </row>
    <row r="293" spans="1:9" x14ac:dyDescent="0.45">
      <c r="A293" s="3"/>
      <c r="B293" s="3"/>
      <c r="C293" s="2"/>
      <c r="D293" s="66"/>
      <c r="E293" s="66"/>
      <c r="F293" s="2"/>
      <c r="G293" s="2"/>
      <c r="H293" s="66"/>
      <c r="I293" s="2"/>
    </row>
    <row r="294" spans="1:9" x14ac:dyDescent="0.45">
      <c r="A294" s="3"/>
      <c r="B294" s="3"/>
      <c r="C294" s="2"/>
      <c r="D294" s="66"/>
      <c r="E294" s="66"/>
      <c r="F294" s="2"/>
      <c r="G294" s="2"/>
      <c r="H294" s="66"/>
      <c r="I294" s="2"/>
    </row>
    <row r="295" spans="1:9" x14ac:dyDescent="0.45">
      <c r="A295" s="3"/>
      <c r="B295" s="3"/>
      <c r="C295" s="2"/>
      <c r="D295" s="66"/>
      <c r="E295" s="66"/>
      <c r="F295" s="2"/>
      <c r="G295" s="2"/>
      <c r="H295" s="66"/>
      <c r="I295" s="2"/>
    </row>
    <row r="296" spans="1:9" x14ac:dyDescent="0.45">
      <c r="A296" s="3"/>
      <c r="B296" s="3"/>
      <c r="C296" s="2"/>
      <c r="D296" s="66"/>
      <c r="E296" s="66"/>
      <c r="F296" s="2"/>
      <c r="G296" s="2"/>
      <c r="H296" s="66"/>
      <c r="I296" s="2"/>
    </row>
    <row r="297" spans="1:9" x14ac:dyDescent="0.45">
      <c r="A297" s="3"/>
      <c r="B297" s="3"/>
      <c r="C297" s="2"/>
      <c r="D297" s="66"/>
      <c r="E297" s="66"/>
      <c r="F297" s="2"/>
      <c r="G297" s="2"/>
      <c r="H297" s="66"/>
      <c r="I297" s="2"/>
    </row>
    <row r="298" spans="1:9" x14ac:dyDescent="0.45">
      <c r="A298" s="3"/>
      <c r="B298" s="3"/>
      <c r="C298" s="2"/>
      <c r="D298" s="66"/>
      <c r="E298" s="66"/>
      <c r="F298" s="2"/>
      <c r="G298" s="2"/>
      <c r="H298" s="66"/>
      <c r="I298" s="2"/>
    </row>
    <row r="299" spans="1:9" x14ac:dyDescent="0.45">
      <c r="A299" s="3"/>
      <c r="B299" s="3"/>
      <c r="C299" s="2"/>
      <c r="D299" s="66"/>
      <c r="E299" s="66"/>
      <c r="F299" s="2"/>
      <c r="G299" s="2"/>
      <c r="H299" s="66"/>
      <c r="I299" s="2"/>
    </row>
    <row r="300" spans="1:9" x14ac:dyDescent="0.45">
      <c r="A300" s="3"/>
      <c r="B300" s="3"/>
      <c r="C300" s="2"/>
      <c r="D300" s="66"/>
      <c r="E300" s="66"/>
      <c r="F300" s="2"/>
      <c r="G300" s="2"/>
      <c r="H300" s="66"/>
      <c r="I300" s="2"/>
    </row>
    <row r="301" spans="1:9" x14ac:dyDescent="0.45">
      <c r="A301" s="3"/>
      <c r="B301" s="3"/>
      <c r="C301" s="2"/>
      <c r="D301" s="66"/>
      <c r="E301" s="66"/>
      <c r="F301" s="2"/>
      <c r="G301" s="2"/>
      <c r="H301" s="66"/>
      <c r="I301" s="2"/>
    </row>
    <row r="302" spans="1:9" x14ac:dyDescent="0.45">
      <c r="A302" s="3"/>
      <c r="B302" s="3"/>
      <c r="C302" s="2"/>
      <c r="D302" s="66"/>
      <c r="E302" s="66"/>
      <c r="F302" s="2"/>
      <c r="G302" s="2"/>
      <c r="H302" s="66"/>
      <c r="I302" s="2"/>
    </row>
    <row r="303" spans="1:9" x14ac:dyDescent="0.45">
      <c r="A303" s="3"/>
      <c r="B303" s="3"/>
      <c r="C303" s="2"/>
      <c r="D303" s="66"/>
      <c r="E303" s="66"/>
      <c r="F303" s="2"/>
      <c r="G303" s="2"/>
      <c r="H303" s="66"/>
      <c r="I303" s="2"/>
    </row>
    <row r="304" spans="1:9" x14ac:dyDescent="0.45">
      <c r="A304" s="3"/>
      <c r="B304" s="3"/>
      <c r="C304" s="2"/>
      <c r="D304" s="66"/>
      <c r="E304" s="66"/>
      <c r="F304" s="2"/>
      <c r="G304" s="2"/>
      <c r="H304" s="66"/>
      <c r="I304" s="2"/>
    </row>
    <row r="305" spans="1:9" x14ac:dyDescent="0.45">
      <c r="A305" s="3"/>
      <c r="B305" s="3"/>
      <c r="C305" s="2"/>
      <c r="D305" s="66"/>
      <c r="E305" s="66"/>
      <c r="F305" s="2"/>
      <c r="G305" s="2"/>
      <c r="H305" s="66"/>
      <c r="I305" s="2"/>
    </row>
    <row r="306" spans="1:9" x14ac:dyDescent="0.45">
      <c r="A306" s="3"/>
      <c r="B306" s="3"/>
      <c r="C306" s="2"/>
      <c r="D306" s="66"/>
      <c r="E306" s="66"/>
      <c r="F306" s="2"/>
      <c r="G306" s="2"/>
      <c r="H306" s="66"/>
      <c r="I306" s="2"/>
    </row>
    <row r="307" spans="1:9" x14ac:dyDescent="0.45">
      <c r="A307" s="3"/>
      <c r="B307" s="3"/>
      <c r="C307" s="2"/>
      <c r="D307" s="66"/>
      <c r="E307" s="66"/>
      <c r="F307" s="2"/>
      <c r="G307" s="2"/>
      <c r="H307" s="66"/>
      <c r="I307" s="2"/>
    </row>
    <row r="308" spans="1:9" x14ac:dyDescent="0.45">
      <c r="A308" s="3"/>
      <c r="B308" s="3"/>
      <c r="C308" s="2"/>
      <c r="D308" s="66"/>
      <c r="E308" s="66"/>
      <c r="F308" s="2"/>
      <c r="G308" s="2"/>
      <c r="H308" s="66"/>
      <c r="I308" s="2"/>
    </row>
    <row r="309" spans="1:9" x14ac:dyDescent="0.45">
      <c r="A309" s="3"/>
      <c r="B309" s="3"/>
      <c r="C309" s="2"/>
      <c r="D309" s="66"/>
      <c r="E309" s="66"/>
      <c r="F309" s="2"/>
      <c r="G309" s="2"/>
      <c r="H309" s="66"/>
      <c r="I309" s="2"/>
    </row>
    <row r="310" spans="1:9" x14ac:dyDescent="0.45">
      <c r="A310" s="3"/>
      <c r="B310" s="3"/>
      <c r="C310" s="2"/>
      <c r="D310" s="66"/>
      <c r="E310" s="66"/>
      <c r="F310" s="2"/>
      <c r="G310" s="2"/>
      <c r="H310" s="66"/>
      <c r="I310" s="2"/>
    </row>
    <row r="311" spans="1:9" x14ac:dyDescent="0.45">
      <c r="A311" s="3"/>
      <c r="B311" s="3"/>
      <c r="C311" s="2"/>
      <c r="D311" s="66"/>
      <c r="E311" s="66"/>
      <c r="F311" s="2"/>
      <c r="G311" s="2"/>
      <c r="H311" s="66"/>
      <c r="I311" s="2"/>
    </row>
    <row r="312" spans="1:9" x14ac:dyDescent="0.45">
      <c r="A312" s="3"/>
      <c r="B312" s="3"/>
      <c r="C312" s="2"/>
      <c r="D312" s="66"/>
      <c r="E312" s="66"/>
      <c r="F312" s="2"/>
      <c r="G312" s="2"/>
      <c r="H312" s="66"/>
      <c r="I312" s="2"/>
    </row>
    <row r="313" spans="1:9" x14ac:dyDescent="0.45">
      <c r="A313" s="3"/>
      <c r="B313" s="3"/>
      <c r="C313" s="2"/>
      <c r="D313" s="66"/>
      <c r="E313" s="66"/>
      <c r="F313" s="2"/>
      <c r="G313" s="2"/>
      <c r="H313" s="66"/>
      <c r="I313" s="2"/>
    </row>
    <row r="314" spans="1:9" x14ac:dyDescent="0.45">
      <c r="A314" s="3"/>
      <c r="B314" s="3"/>
      <c r="C314" s="2"/>
      <c r="D314" s="66"/>
      <c r="E314" s="66"/>
      <c r="F314" s="2"/>
      <c r="G314" s="2"/>
      <c r="H314" s="66"/>
      <c r="I314" s="2"/>
    </row>
    <row r="315" spans="1:9" x14ac:dyDescent="0.45">
      <c r="A315" s="3"/>
      <c r="B315" s="3"/>
      <c r="C315" s="2"/>
      <c r="D315" s="66"/>
      <c r="E315" s="66"/>
      <c r="F315" s="2"/>
      <c r="G315" s="2"/>
      <c r="H315" s="66"/>
      <c r="I315" s="2"/>
    </row>
    <row r="316" spans="1:9" x14ac:dyDescent="0.45">
      <c r="A316" s="3"/>
      <c r="B316" s="3"/>
      <c r="C316" s="2"/>
      <c r="D316" s="66"/>
      <c r="E316" s="66"/>
      <c r="F316" s="2"/>
      <c r="G316" s="2"/>
      <c r="H316" s="66"/>
      <c r="I316" s="2"/>
    </row>
    <row r="317" spans="1:9" x14ac:dyDescent="0.45">
      <c r="A317" s="3"/>
      <c r="B317" s="3"/>
      <c r="C317" s="2"/>
      <c r="D317" s="66"/>
      <c r="E317" s="66"/>
      <c r="F317" s="2"/>
      <c r="G317" s="2"/>
      <c r="H317" s="66"/>
      <c r="I317" s="2"/>
    </row>
    <row r="318" spans="1:9" x14ac:dyDescent="0.45">
      <c r="A318" s="3"/>
      <c r="B318" s="3"/>
      <c r="C318" s="2"/>
      <c r="D318" s="66"/>
      <c r="E318" s="66"/>
      <c r="F318" s="2"/>
      <c r="G318" s="2"/>
      <c r="H318" s="66"/>
      <c r="I318" s="2"/>
    </row>
    <row r="319" spans="1:9" x14ac:dyDescent="0.45">
      <c r="A319" s="3"/>
      <c r="B319" s="3"/>
      <c r="C319" s="2"/>
      <c r="D319" s="66"/>
      <c r="E319" s="66"/>
      <c r="F319" s="2"/>
      <c r="G319" s="2"/>
      <c r="H319" s="66"/>
      <c r="I319" s="2"/>
    </row>
    <row r="320" spans="1:9" x14ac:dyDescent="0.45">
      <c r="A320" s="3"/>
      <c r="B320" s="3"/>
      <c r="C320" s="2"/>
      <c r="D320" s="66"/>
      <c r="E320" s="66"/>
      <c r="F320" s="2"/>
      <c r="G320" s="2"/>
      <c r="H320" s="66"/>
      <c r="I320" s="2"/>
    </row>
    <row r="321" spans="1:9" x14ac:dyDescent="0.45">
      <c r="A321" s="3"/>
      <c r="B321" s="3"/>
      <c r="C321" s="2"/>
      <c r="D321" s="66"/>
      <c r="E321" s="66"/>
      <c r="F321" s="2"/>
      <c r="G321" s="2"/>
      <c r="H321" s="66"/>
      <c r="I321" s="2"/>
    </row>
    <row r="322" spans="1:9" x14ac:dyDescent="0.45">
      <c r="A322" s="3"/>
      <c r="B322" s="3"/>
      <c r="C322" s="2"/>
      <c r="D322" s="66"/>
      <c r="E322" s="66"/>
      <c r="F322" s="2"/>
      <c r="G322" s="2"/>
      <c r="H322" s="66"/>
      <c r="I322" s="2"/>
    </row>
    <row r="323" spans="1:9" x14ac:dyDescent="0.45">
      <c r="A323" s="3"/>
      <c r="B323" s="3"/>
      <c r="C323" s="2"/>
      <c r="D323" s="66"/>
      <c r="E323" s="66"/>
      <c r="F323" s="2"/>
      <c r="G323" s="2"/>
      <c r="H323" s="66"/>
      <c r="I323" s="2"/>
    </row>
    <row r="324" spans="1:9" x14ac:dyDescent="0.45">
      <c r="A324" s="3"/>
      <c r="B324" s="3"/>
      <c r="C324" s="2"/>
      <c r="D324" s="66"/>
      <c r="E324" s="66"/>
      <c r="F324" s="2"/>
      <c r="G324" s="2"/>
      <c r="H324" s="66"/>
      <c r="I324" s="2"/>
    </row>
    <row r="325" spans="1:9" x14ac:dyDescent="0.45">
      <c r="A325" s="3"/>
      <c r="B325" s="3"/>
      <c r="C325" s="2"/>
      <c r="D325" s="66"/>
      <c r="E325" s="66"/>
      <c r="F325" s="2"/>
      <c r="G325" s="2"/>
      <c r="H325" s="66"/>
      <c r="I325" s="2"/>
    </row>
    <row r="326" spans="1:9" x14ac:dyDescent="0.45">
      <c r="A326" s="3"/>
      <c r="B326" s="3"/>
      <c r="C326" s="2"/>
      <c r="D326" s="66"/>
      <c r="E326" s="66"/>
      <c r="F326" s="2"/>
      <c r="G326" s="2"/>
      <c r="H326" s="66"/>
      <c r="I326" s="2"/>
    </row>
    <row r="327" spans="1:9" x14ac:dyDescent="0.45">
      <c r="A327" s="3"/>
      <c r="B327" s="3"/>
      <c r="C327" s="2"/>
      <c r="D327" s="66"/>
      <c r="E327" s="66"/>
      <c r="F327" s="2"/>
      <c r="G327" s="2"/>
      <c r="H327" s="66"/>
      <c r="I327" s="2"/>
    </row>
    <row r="328" spans="1:9" x14ac:dyDescent="0.45">
      <c r="A328" s="3"/>
      <c r="B328" s="3"/>
      <c r="C328" s="2"/>
      <c r="D328" s="66"/>
      <c r="E328" s="66"/>
      <c r="F328" s="2"/>
      <c r="G328" s="2"/>
      <c r="H328" s="66"/>
      <c r="I328" s="2"/>
    </row>
    <row r="329" spans="1:9" x14ac:dyDescent="0.45">
      <c r="A329" s="3"/>
      <c r="B329" s="3"/>
      <c r="C329" s="2"/>
      <c r="D329" s="66"/>
      <c r="E329" s="66"/>
      <c r="F329" s="2"/>
      <c r="G329" s="2"/>
      <c r="H329" s="66"/>
      <c r="I329" s="2"/>
    </row>
    <row r="330" spans="1:9" x14ac:dyDescent="0.45">
      <c r="A330" s="3"/>
      <c r="B330" s="3"/>
      <c r="C330" s="2"/>
      <c r="D330" s="66"/>
      <c r="E330" s="66"/>
      <c r="F330" s="2"/>
      <c r="G330" s="2"/>
      <c r="H330" s="66"/>
      <c r="I330" s="2"/>
    </row>
    <row r="331" spans="1:9" x14ac:dyDescent="0.45">
      <c r="A331" s="3"/>
      <c r="B331" s="3"/>
      <c r="C331" s="2"/>
      <c r="D331" s="66"/>
      <c r="E331" s="66"/>
      <c r="F331" s="2"/>
      <c r="G331" s="2"/>
      <c r="H331" s="66"/>
      <c r="I331" s="2"/>
    </row>
    <row r="332" spans="1:9" x14ac:dyDescent="0.45">
      <c r="A332" s="3"/>
      <c r="B332" s="3"/>
      <c r="C332" s="2"/>
      <c r="D332" s="66"/>
      <c r="E332" s="66"/>
      <c r="F332" s="2"/>
      <c r="G332" s="2"/>
      <c r="H332" s="66"/>
      <c r="I332" s="2"/>
    </row>
    <row r="333" spans="1:9" x14ac:dyDescent="0.45">
      <c r="A333" s="3"/>
      <c r="B333" s="3"/>
      <c r="C333" s="2"/>
      <c r="D333" s="66"/>
      <c r="E333" s="66"/>
      <c r="F333" s="2"/>
      <c r="G333" s="2"/>
      <c r="H333" s="66"/>
      <c r="I333" s="2"/>
    </row>
    <row r="334" spans="1:9" x14ac:dyDescent="0.45">
      <c r="A334" s="3"/>
      <c r="B334" s="3"/>
      <c r="C334" s="2"/>
      <c r="D334" s="66"/>
      <c r="E334" s="66"/>
      <c r="F334" s="2"/>
      <c r="G334" s="2"/>
      <c r="H334" s="66"/>
      <c r="I334" s="2"/>
    </row>
    <row r="335" spans="1:9" x14ac:dyDescent="0.45">
      <c r="A335" s="3"/>
      <c r="B335" s="3"/>
      <c r="C335" s="2"/>
      <c r="D335" s="66"/>
      <c r="E335" s="66"/>
      <c r="F335" s="2"/>
      <c r="G335" s="2"/>
      <c r="H335" s="66"/>
      <c r="I335" s="2"/>
    </row>
    <row r="336" spans="1:9" x14ac:dyDescent="0.45">
      <c r="A336" s="3"/>
      <c r="B336" s="3"/>
      <c r="C336" s="2"/>
      <c r="D336" s="66"/>
      <c r="E336" s="66"/>
      <c r="F336" s="2"/>
      <c r="G336" s="2"/>
      <c r="H336" s="66"/>
      <c r="I336" s="2"/>
    </row>
    <row r="337" spans="1:9" x14ac:dyDescent="0.45">
      <c r="A337" s="3"/>
      <c r="B337" s="3"/>
      <c r="C337" s="2"/>
      <c r="D337" s="66"/>
      <c r="E337" s="66"/>
      <c r="F337" s="2"/>
      <c r="G337" s="2"/>
      <c r="H337" s="66"/>
      <c r="I337" s="2"/>
    </row>
    <row r="338" spans="1:9" x14ac:dyDescent="0.45">
      <c r="A338" s="3"/>
      <c r="B338" s="3"/>
      <c r="C338" s="2"/>
      <c r="D338" s="66"/>
      <c r="E338" s="66"/>
      <c r="F338" s="2"/>
      <c r="G338" s="2"/>
      <c r="H338" s="66"/>
      <c r="I338" s="2"/>
    </row>
    <row r="339" spans="1:9" x14ac:dyDescent="0.45">
      <c r="A339" s="3"/>
      <c r="B339" s="3"/>
      <c r="C339" s="2"/>
      <c r="D339" s="66"/>
      <c r="E339" s="66"/>
      <c r="F339" s="2"/>
      <c r="G339" s="2"/>
      <c r="H339" s="66"/>
      <c r="I339" s="2"/>
    </row>
    <row r="340" spans="1:9" x14ac:dyDescent="0.45">
      <c r="A340" s="3"/>
      <c r="B340" s="3"/>
      <c r="C340" s="2"/>
      <c r="D340" s="66"/>
      <c r="E340" s="66"/>
      <c r="F340" s="2"/>
      <c r="G340" s="2"/>
      <c r="H340" s="66"/>
      <c r="I340" s="2"/>
    </row>
    <row r="341" spans="1:9" x14ac:dyDescent="0.45">
      <c r="A341" s="3"/>
      <c r="B341" s="3"/>
      <c r="C341" s="2"/>
      <c r="D341" s="66"/>
      <c r="E341" s="66"/>
      <c r="F341" s="2"/>
      <c r="G341" s="2"/>
      <c r="H341" s="66"/>
      <c r="I341" s="2"/>
    </row>
    <row r="342" spans="1:9" x14ac:dyDescent="0.45">
      <c r="A342" s="3"/>
      <c r="B342" s="3"/>
      <c r="C342" s="2"/>
      <c r="D342" s="66"/>
      <c r="E342" s="66"/>
      <c r="F342" s="2"/>
      <c r="G342" s="2"/>
      <c r="H342" s="66"/>
      <c r="I342" s="2"/>
    </row>
    <row r="343" spans="1:9" x14ac:dyDescent="0.45">
      <c r="A343" s="3"/>
      <c r="B343" s="3"/>
      <c r="C343" s="2"/>
      <c r="D343" s="66"/>
      <c r="E343" s="66"/>
      <c r="F343" s="2"/>
      <c r="G343" s="2"/>
      <c r="H343" s="66"/>
      <c r="I343" s="2"/>
    </row>
    <row r="344" spans="1:9" x14ac:dyDescent="0.45">
      <c r="A344" s="3"/>
      <c r="B344" s="3"/>
      <c r="C344" s="2"/>
      <c r="D344" s="66"/>
      <c r="E344" s="66"/>
      <c r="F344" s="2"/>
      <c r="G344" s="2"/>
      <c r="H344" s="66"/>
      <c r="I344" s="2"/>
    </row>
    <row r="345" spans="1:9" x14ac:dyDescent="0.45">
      <c r="A345" s="3"/>
      <c r="B345" s="3"/>
      <c r="C345" s="2"/>
      <c r="D345" s="66"/>
      <c r="E345" s="66"/>
      <c r="F345" s="2"/>
      <c r="G345" s="2"/>
      <c r="H345" s="66"/>
      <c r="I345" s="2"/>
    </row>
    <row r="346" spans="1:9" x14ac:dyDescent="0.45">
      <c r="A346" s="3"/>
      <c r="B346" s="3"/>
      <c r="C346" s="2"/>
      <c r="D346" s="66"/>
      <c r="E346" s="66"/>
      <c r="F346" s="2"/>
      <c r="G346" s="2"/>
      <c r="H346" s="66"/>
      <c r="I346" s="2"/>
    </row>
    <row r="347" spans="1:9" x14ac:dyDescent="0.45">
      <c r="A347" s="3"/>
      <c r="B347" s="3"/>
      <c r="C347" s="2"/>
      <c r="D347" s="66"/>
      <c r="E347" s="66"/>
      <c r="F347" s="2"/>
      <c r="G347" s="2"/>
      <c r="H347" s="66"/>
      <c r="I347" s="2"/>
    </row>
    <row r="348" spans="1:9" x14ac:dyDescent="0.45">
      <c r="A348" s="3"/>
      <c r="B348" s="3"/>
      <c r="C348" s="2"/>
      <c r="D348" s="66"/>
      <c r="E348" s="66"/>
      <c r="F348" s="2"/>
      <c r="G348" s="2"/>
      <c r="H348" s="66"/>
      <c r="I348" s="2"/>
    </row>
    <row r="349" spans="1:9" x14ac:dyDescent="0.45">
      <c r="A349" s="3"/>
      <c r="B349" s="3"/>
      <c r="C349" s="2"/>
      <c r="D349" s="66"/>
      <c r="E349" s="66"/>
      <c r="F349" s="2"/>
      <c r="G349" s="2"/>
      <c r="H349" s="66"/>
      <c r="I349" s="2"/>
    </row>
    <row r="350" spans="1:9" x14ac:dyDescent="0.45">
      <c r="A350" s="3"/>
      <c r="B350" s="3"/>
      <c r="C350" s="2"/>
      <c r="D350" s="66"/>
      <c r="E350" s="66"/>
      <c r="F350" s="2"/>
      <c r="G350" s="2"/>
      <c r="H350" s="66"/>
      <c r="I350" s="2"/>
    </row>
    <row r="351" spans="1:9" x14ac:dyDescent="0.45">
      <c r="A351" s="3"/>
      <c r="B351" s="3"/>
      <c r="C351" s="2"/>
      <c r="D351" s="66"/>
      <c r="E351" s="66"/>
      <c r="F351" s="2"/>
      <c r="G351" s="2"/>
      <c r="H351" s="66"/>
      <c r="I351" s="2"/>
    </row>
    <row r="352" spans="1:9" x14ac:dyDescent="0.45">
      <c r="A352" s="3"/>
      <c r="B352" s="3"/>
      <c r="C352" s="2"/>
      <c r="D352" s="66"/>
      <c r="E352" s="66"/>
      <c r="F352" s="2"/>
      <c r="G352" s="2"/>
      <c r="H352" s="66"/>
      <c r="I352" s="2"/>
    </row>
    <row r="353" spans="1:9" x14ac:dyDescent="0.45">
      <c r="A353" s="3"/>
      <c r="B353" s="3"/>
      <c r="C353" s="2"/>
      <c r="D353" s="66"/>
      <c r="E353" s="66"/>
      <c r="F353" s="2"/>
      <c r="G353" s="2"/>
      <c r="H353" s="66"/>
      <c r="I353" s="2"/>
    </row>
    <row r="354" spans="1:9" x14ac:dyDescent="0.45">
      <c r="A354" s="3"/>
      <c r="B354" s="3"/>
      <c r="C354" s="2"/>
      <c r="D354" s="66"/>
      <c r="E354" s="66"/>
      <c r="F354" s="2"/>
      <c r="G354" s="2"/>
      <c r="H354" s="66"/>
      <c r="I354" s="2"/>
    </row>
    <row r="355" spans="1:9" x14ac:dyDescent="0.45">
      <c r="A355" s="3"/>
      <c r="B355" s="3"/>
      <c r="C355" s="2"/>
      <c r="D355" s="66"/>
      <c r="E355" s="66"/>
      <c r="F355" s="2"/>
      <c r="G355" s="2"/>
      <c r="H355" s="66"/>
      <c r="I355" s="2"/>
    </row>
    <row r="356" spans="1:9" x14ac:dyDescent="0.45">
      <c r="A356" s="3"/>
      <c r="B356" s="3"/>
      <c r="C356" s="2"/>
      <c r="D356" s="66"/>
      <c r="E356" s="66"/>
      <c r="F356" s="2"/>
      <c r="G356" s="2"/>
      <c r="H356" s="66"/>
      <c r="I356" s="2"/>
    </row>
    <row r="357" spans="1:9" x14ac:dyDescent="0.45">
      <c r="A357" s="3"/>
      <c r="B357" s="3"/>
      <c r="C357" s="2"/>
      <c r="D357" s="66"/>
      <c r="E357" s="66"/>
      <c r="F357" s="2"/>
      <c r="G357" s="2"/>
      <c r="H357" s="66"/>
      <c r="I357" s="2"/>
    </row>
    <row r="358" spans="1:9" x14ac:dyDescent="0.45">
      <c r="A358" s="3"/>
      <c r="B358" s="3"/>
      <c r="C358" s="2"/>
      <c r="D358" s="66"/>
      <c r="E358" s="66"/>
      <c r="F358" s="2"/>
      <c r="G358" s="2"/>
      <c r="H358" s="66"/>
      <c r="I358" s="2"/>
    </row>
    <row r="359" spans="1:9" x14ac:dyDescent="0.45">
      <c r="A359" s="3"/>
      <c r="B359" s="3"/>
      <c r="C359" s="2"/>
      <c r="D359" s="66"/>
      <c r="E359" s="66"/>
      <c r="F359" s="2"/>
      <c r="G359" s="2"/>
      <c r="H359" s="66"/>
      <c r="I359" s="2"/>
    </row>
    <row r="360" spans="1:9" x14ac:dyDescent="0.45">
      <c r="A360" s="3"/>
      <c r="B360" s="3"/>
      <c r="C360" s="2"/>
      <c r="D360" s="66"/>
      <c r="E360" s="66"/>
      <c r="F360" s="2"/>
      <c r="G360" s="2"/>
      <c r="H360" s="66"/>
      <c r="I360" s="2"/>
    </row>
    <row r="361" spans="1:9" x14ac:dyDescent="0.45">
      <c r="A361" s="3"/>
      <c r="B361" s="3"/>
      <c r="C361" s="2"/>
      <c r="D361" s="66"/>
      <c r="E361" s="66"/>
      <c r="F361" s="2"/>
      <c r="G361" s="2"/>
      <c r="H361" s="66"/>
      <c r="I361" s="2"/>
    </row>
    <row r="362" spans="1:9" x14ac:dyDescent="0.45">
      <c r="A362" s="3"/>
      <c r="B362" s="3"/>
      <c r="C362" s="2"/>
      <c r="D362" s="66"/>
      <c r="E362" s="66"/>
      <c r="F362" s="2"/>
      <c r="G362" s="2"/>
      <c r="H362" s="66"/>
      <c r="I362" s="2"/>
    </row>
    <row r="363" spans="1:9" x14ac:dyDescent="0.45">
      <c r="A363" s="3"/>
      <c r="B363" s="3"/>
      <c r="C363" s="2"/>
      <c r="D363" s="66"/>
      <c r="E363" s="66"/>
      <c r="F363" s="2"/>
      <c r="G363" s="2"/>
      <c r="H363" s="66"/>
      <c r="I363" s="2"/>
    </row>
    <row r="364" spans="1:9" x14ac:dyDescent="0.45">
      <c r="A364" s="3"/>
      <c r="B364" s="3"/>
      <c r="C364" s="2"/>
      <c r="D364" s="66"/>
      <c r="E364" s="66"/>
      <c r="F364" s="2"/>
      <c r="G364" s="2"/>
      <c r="H364" s="66"/>
      <c r="I364" s="2"/>
    </row>
    <row r="365" spans="1:9" x14ac:dyDescent="0.45">
      <c r="A365" s="3"/>
      <c r="B365" s="3"/>
      <c r="C365" s="2"/>
      <c r="D365" s="66"/>
      <c r="E365" s="66"/>
      <c r="F365" s="2"/>
      <c r="G365" s="2"/>
      <c r="H365" s="66"/>
      <c r="I365" s="2"/>
    </row>
    <row r="366" spans="1:9" x14ac:dyDescent="0.45">
      <c r="A366" s="3"/>
      <c r="B366" s="3"/>
      <c r="C366" s="2"/>
      <c r="D366" s="66"/>
      <c r="E366" s="66"/>
      <c r="F366" s="2"/>
      <c r="G366" s="2"/>
      <c r="H366" s="66"/>
      <c r="I366" s="2"/>
    </row>
    <row r="367" spans="1:9" x14ac:dyDescent="0.45">
      <c r="A367" s="3"/>
      <c r="B367" s="3"/>
      <c r="C367" s="2"/>
      <c r="D367" s="66"/>
      <c r="E367" s="66"/>
      <c r="F367" s="2"/>
      <c r="G367" s="2"/>
      <c r="H367" s="66"/>
      <c r="I367" s="2"/>
    </row>
    <row r="368" spans="1:9" x14ac:dyDescent="0.45">
      <c r="A368" s="3"/>
      <c r="B368" s="3"/>
      <c r="C368" s="2"/>
      <c r="D368" s="66"/>
      <c r="E368" s="66"/>
      <c r="F368" s="2"/>
      <c r="G368" s="2"/>
      <c r="H368" s="66"/>
      <c r="I368" s="2"/>
    </row>
    <row r="369" spans="1:9" x14ac:dyDescent="0.45">
      <c r="A369" s="3"/>
      <c r="B369" s="3"/>
      <c r="C369" s="2"/>
      <c r="D369" s="66"/>
      <c r="E369" s="66"/>
      <c r="F369" s="2"/>
      <c r="G369" s="2"/>
      <c r="H369" s="66"/>
      <c r="I369" s="2"/>
    </row>
    <row r="370" spans="1:9" x14ac:dyDescent="0.45">
      <c r="A370" s="3"/>
      <c r="B370" s="3"/>
      <c r="C370" s="2"/>
      <c r="D370" s="66"/>
      <c r="E370" s="66"/>
      <c r="F370" s="2"/>
      <c r="G370" s="2"/>
      <c r="H370" s="66"/>
      <c r="I370" s="2"/>
    </row>
    <row r="371" spans="1:9" x14ac:dyDescent="0.45">
      <c r="A371" s="3"/>
      <c r="B371" s="3"/>
      <c r="C371" s="2"/>
      <c r="D371" s="66"/>
      <c r="E371" s="66"/>
      <c r="F371" s="2"/>
      <c r="G371" s="2"/>
      <c r="H371" s="66"/>
      <c r="I371" s="2"/>
    </row>
    <row r="372" spans="1:9" x14ac:dyDescent="0.45">
      <c r="A372" s="3"/>
      <c r="B372" s="3"/>
      <c r="C372" s="2"/>
      <c r="D372" s="66"/>
      <c r="E372" s="66"/>
      <c r="F372" s="2"/>
      <c r="G372" s="2"/>
      <c r="H372" s="66"/>
      <c r="I372" s="2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6C5F-5D58-49A0-A061-32B187FE95A5}">
  <sheetPr codeName="Sheet14"/>
  <dimension ref="A1:CW389"/>
  <sheetViews>
    <sheetView workbookViewId="0">
      <selection activeCell="B7" sqref="B7"/>
    </sheetView>
  </sheetViews>
  <sheetFormatPr defaultColWidth="11.84375" defaultRowHeight="15.9" x14ac:dyDescent="0.45"/>
  <cols>
    <col min="1" max="1" width="12.53515625" style="1" bestFit="1" customWidth="1"/>
    <col min="2" max="2" width="13.61328125" style="1" bestFit="1" customWidth="1"/>
    <col min="3" max="3" width="23.15234375" style="1" bestFit="1" customWidth="1"/>
    <col min="4" max="4" width="26" style="1" bestFit="1" customWidth="1"/>
    <col min="5" max="5" width="27.61328125" style="1" bestFit="1" customWidth="1"/>
    <col min="6" max="6" width="21.53515625" style="1" bestFit="1" customWidth="1"/>
    <col min="7" max="7" width="14.53515625" style="1" bestFit="1" customWidth="1"/>
    <col min="8" max="16384" width="11.84375" style="1"/>
  </cols>
  <sheetData>
    <row r="1" spans="1:101" x14ac:dyDescent="0.45">
      <c r="A1" s="12" t="s">
        <v>18</v>
      </c>
    </row>
    <row r="2" spans="1:101" ht="16.3" thickBot="1" x14ac:dyDescent="0.5">
      <c r="A2" s="13" t="s">
        <v>19</v>
      </c>
      <c r="F2" s="1" t="s">
        <v>9</v>
      </c>
      <c r="G2" s="14" t="s">
        <v>8</v>
      </c>
      <c r="H2" s="7">
        <v>-3.1733294426636799E-3</v>
      </c>
      <c r="I2" s="7">
        <v>0.28228042019258398</v>
      </c>
      <c r="J2" s="7">
        <v>0.70903851765392101</v>
      </c>
      <c r="K2" s="7">
        <v>1.1334257367960201</v>
      </c>
      <c r="L2" s="7">
        <v>2.1239786985701699</v>
      </c>
      <c r="M2" s="7">
        <v>2.47818791946308</v>
      </c>
      <c r="N2" s="7">
        <v>3.1145316603443201</v>
      </c>
      <c r="O2" s="7">
        <v>3.6806974029763602</v>
      </c>
      <c r="P2" s="7">
        <v>4.2473373212722398</v>
      </c>
      <c r="Q2" s="7">
        <v>4.8841552378173301</v>
      </c>
      <c r="R2" s="7">
        <v>5.3094908082871299</v>
      </c>
      <c r="S2" s="7">
        <v>6.5096294134811696</v>
      </c>
      <c r="T2" s="7">
        <v>7.0056171578640098</v>
      </c>
      <c r="U2" s="7">
        <v>7.2901225561715703</v>
      </c>
      <c r="V2" s="7">
        <v>7.6457543040560196</v>
      </c>
      <c r="W2" s="7">
        <v>8.0018602276043094</v>
      </c>
      <c r="X2" s="7">
        <v>8.5727677268748099</v>
      </c>
      <c r="Y2" s="7">
        <v>8.7875693025970207</v>
      </c>
      <c r="Z2" s="7">
        <v>9.3575284505398209</v>
      </c>
      <c r="AA2" s="7">
        <v>9.6425080245112298</v>
      </c>
      <c r="AB2" s="7">
        <v>9.9990881237233697</v>
      </c>
      <c r="AC2" s="7">
        <v>10.355194047271601</v>
      </c>
      <c r="AD2" s="7">
        <v>10.6411219725707</v>
      </c>
      <c r="AE2" s="7">
        <v>11.139006419608901</v>
      </c>
      <c r="AF2" s="7">
        <v>11.637365042311</v>
      </c>
      <c r="AG2" s="7">
        <v>11.9934709658593</v>
      </c>
      <c r="AH2" s="7">
        <v>12.4918295885614</v>
      </c>
      <c r="AI2" s="7">
        <v>12.9185876860227</v>
      </c>
      <c r="AJ2" s="7">
        <v>13.4164721330609</v>
      </c>
      <c r="AK2" s="7">
        <v>13.843704406186101</v>
      </c>
      <c r="AL2" s="7">
        <v>14.4828932010504</v>
      </c>
      <c r="AM2" s="7">
        <v>14.980303472424801</v>
      </c>
      <c r="AN2" s="7">
        <v>15.4777137437992</v>
      </c>
      <c r="AO2" s="7">
        <v>15.9044718412605</v>
      </c>
      <c r="AP2" s="7">
        <v>16.472060110884101</v>
      </c>
      <c r="AQ2" s="7">
        <v>16.9689962065946</v>
      </c>
      <c r="AR2" s="7">
        <v>17.890319521447299</v>
      </c>
      <c r="AS2" s="7">
        <v>18.457433615406998</v>
      </c>
      <c r="AT2" s="7">
        <v>19.025021885030601</v>
      </c>
      <c r="AU2" s="7">
        <v>19.8747446746425</v>
      </c>
      <c r="AV2" s="7">
        <v>20.370732419025298</v>
      </c>
      <c r="AW2" s="7">
        <v>21.291107382550301</v>
      </c>
      <c r="AX2" s="7">
        <v>22.212430697402901</v>
      </c>
      <c r="AY2" s="7">
        <v>23.134228187919401</v>
      </c>
      <c r="AZ2" s="7">
        <v>24.195907499270501</v>
      </c>
      <c r="BA2" s="7">
        <v>24.833199591479399</v>
      </c>
      <c r="BB2" s="7">
        <v>25.3277648088707</v>
      </c>
      <c r="BC2" s="7">
        <v>26.602823168952401</v>
      </c>
      <c r="BD2" s="7">
        <v>27.1689889115844</v>
      </c>
      <c r="BE2" s="7">
        <v>27.736103005544201</v>
      </c>
      <c r="BF2" s="7">
        <v>28.867960315144401</v>
      </c>
      <c r="BG2" s="7">
        <v>29.574956229938699</v>
      </c>
      <c r="BH2" s="7">
        <v>30.142544499562302</v>
      </c>
      <c r="BI2" s="7">
        <v>30.7784140647796</v>
      </c>
      <c r="BJ2" s="7">
        <v>31.273453457834801</v>
      </c>
      <c r="BK2" s="7">
        <v>32.264480595272801</v>
      </c>
      <c r="BL2" s="7">
        <v>32.760468339655603</v>
      </c>
      <c r="BM2" s="7">
        <v>33.325685730959997</v>
      </c>
      <c r="BN2" s="7">
        <v>34.033155821418099</v>
      </c>
      <c r="BO2" s="7">
        <v>34.811278085789297</v>
      </c>
      <c r="BP2" s="7">
        <v>35.729756346658803</v>
      </c>
      <c r="BQ2" s="7">
        <v>36.506930259702301</v>
      </c>
      <c r="BR2" s="7">
        <v>37.214400350160403</v>
      </c>
      <c r="BS2" s="7">
        <v>38.063174788444698</v>
      </c>
      <c r="BT2" s="7">
        <v>38.770170703238897</v>
      </c>
      <c r="BU2" s="7">
        <v>39.476692442369398</v>
      </c>
      <c r="BV2" s="7">
        <v>40.536475051064997</v>
      </c>
      <c r="BW2" s="7">
        <v>41.032936971111702</v>
      </c>
      <c r="BX2" s="7">
        <v>41.809636708491396</v>
      </c>
      <c r="BY2" s="7">
        <v>42.304201925882701</v>
      </c>
      <c r="BZ2" s="7">
        <v>43.647541581558201</v>
      </c>
      <c r="CA2" s="7">
        <v>44.212758972862503</v>
      </c>
      <c r="CB2" s="7">
        <v>44.8486285380799</v>
      </c>
      <c r="CC2" s="7">
        <v>45.272541581558201</v>
      </c>
      <c r="CD2" s="7">
        <v>45.838707324190203</v>
      </c>
      <c r="CE2" s="7">
        <v>47.039794280711902</v>
      </c>
      <c r="CF2" s="7">
        <v>47.464655675517903</v>
      </c>
      <c r="CG2" s="7">
        <v>47.888568718996197</v>
      </c>
      <c r="CH2" s="7">
        <v>48.524438284213602</v>
      </c>
      <c r="CI2" s="7">
        <v>49.089655675517903</v>
      </c>
      <c r="CJ2" s="7">
        <v>49.938430113802099</v>
      </c>
      <c r="CK2" s="7">
        <v>50.6449518529325</v>
      </c>
      <c r="CL2" s="7">
        <v>51.422125765975998</v>
      </c>
      <c r="CM2" s="7">
        <v>52.0584695068573</v>
      </c>
      <c r="CN2" s="7">
        <v>53.119200466880599</v>
      </c>
      <c r="CO2" s="7">
        <v>53.896848555587901</v>
      </c>
      <c r="CP2" s="7">
        <v>54.391887948643102</v>
      </c>
      <c r="CQ2" s="7">
        <v>54.8864531660344</v>
      </c>
      <c r="CR2" s="7">
        <v>55.593449080828698</v>
      </c>
      <c r="CS2" s="7">
        <v>56.300444995622897</v>
      </c>
      <c r="CT2" s="7">
        <v>57.149219433907199</v>
      </c>
      <c r="CU2" s="7">
        <v>57.785088999124604</v>
      </c>
      <c r="CV2" s="7">
        <v>58.420958564342001</v>
      </c>
      <c r="CW2" s="7">
        <v>58.844871607820203</v>
      </c>
    </row>
    <row r="3" spans="1:101" x14ac:dyDescent="0.45">
      <c r="A3" s="1" t="s">
        <v>13</v>
      </c>
      <c r="F3" s="1" t="s">
        <v>20</v>
      </c>
      <c r="G3" s="15" t="s">
        <v>7</v>
      </c>
      <c r="H3" s="1">
        <v>823.76453242824095</v>
      </c>
      <c r="I3" s="1">
        <v>778.53162962849501</v>
      </c>
      <c r="J3" s="1">
        <v>754.16829204613407</v>
      </c>
      <c r="K3" s="1">
        <v>772.6134566062085</v>
      </c>
      <c r="L3" s="1">
        <v>774.95123861594277</v>
      </c>
      <c r="M3" s="1">
        <v>785.34271190084746</v>
      </c>
      <c r="N3" s="1">
        <v>793.35309385222683</v>
      </c>
      <c r="O3" s="1">
        <v>824.61413235452267</v>
      </c>
      <c r="P3" s="1">
        <v>826.95191436425762</v>
      </c>
      <c r="Q3" s="1">
        <v>834.80334188257018</v>
      </c>
      <c r="R3" s="1">
        <v>858.01068910970207</v>
      </c>
      <c r="S3" s="1">
        <v>905.69701902845225</v>
      </c>
      <c r="T3" s="1">
        <v>939.33914886428636</v>
      </c>
      <c r="U3" s="1">
        <v>967.4676331915299</v>
      </c>
      <c r="V3" s="1">
        <v>995.43716308571277</v>
      </c>
      <c r="W3" s="1">
        <v>1015.3530017047262</v>
      </c>
      <c r="X3" s="1">
        <v>979.05195583063301</v>
      </c>
      <c r="Y3" s="1">
        <v>1001.5078402162386</v>
      </c>
      <c r="Z3" s="1">
        <v>978.77413112588874</v>
      </c>
      <c r="AA3" s="1">
        <v>1006.7436610200714</v>
      </c>
      <c r="AB3" s="1">
        <v>1010.7110715218171</v>
      </c>
      <c r="AC3" s="1">
        <v>1033.1669559074217</v>
      </c>
      <c r="AD3" s="1">
        <v>1018.8048469583675</v>
      </c>
      <c r="AE3" s="1">
        <v>994.00795540061176</v>
      </c>
      <c r="AF3" s="1">
        <v>982.0269377850766</v>
      </c>
      <c r="AG3" s="1">
        <v>996.58808532857825</v>
      </c>
      <c r="AH3" s="1">
        <v>955.84276565355435</v>
      </c>
      <c r="AI3" s="1">
        <v>943.06478276227801</v>
      </c>
      <c r="AJ3" s="1">
        <v>912.07841752030811</v>
      </c>
      <c r="AK3" s="1">
        <v>886.69113694653777</v>
      </c>
      <c r="AL3" s="1">
        <v>846.10477170457011</v>
      </c>
      <c r="AM3" s="1">
        <v>823.76248675379622</v>
      </c>
      <c r="AN3" s="1">
        <v>800.3245496291039</v>
      </c>
      <c r="AO3" s="1">
        <v>782.62574293919465</v>
      </c>
      <c r="AP3" s="1">
        <v>776.47627969836844</v>
      </c>
      <c r="AQ3" s="1">
        <v>770.32681645754167</v>
      </c>
      <c r="AR3" s="1">
        <v>739.29070999646467</v>
      </c>
      <c r="AS3" s="1">
        <v>720.97068173789637</v>
      </c>
      <c r="AT3" s="1">
        <v>694.07522307372915</v>
      </c>
      <c r="AU3" s="1">
        <v>677.6499316572714</v>
      </c>
      <c r="AV3" s="1">
        <v>669.27833151597792</v>
      </c>
      <c r="AW3" s="1">
        <v>651.48004238784426</v>
      </c>
      <c r="AX3" s="1">
        <v>621.34736842105201</v>
      </c>
      <c r="AY3" s="1">
        <v>584.81409242393647</v>
      </c>
      <c r="AZ3" s="1">
        <v>570.1462380784169</v>
      </c>
      <c r="BA3" s="1">
        <v>562.55724663277624</v>
      </c>
      <c r="BB3" s="1">
        <v>572.99202924147187</v>
      </c>
      <c r="BC3" s="1">
        <v>508.72145347318849</v>
      </c>
      <c r="BD3" s="1">
        <v>529.08089014482107</v>
      </c>
      <c r="BE3" s="1">
        <v>503.15033557047002</v>
      </c>
      <c r="BF3" s="1">
        <v>470.3572251316931</v>
      </c>
      <c r="BG3" s="1">
        <v>481.64083362769082</v>
      </c>
      <c r="BH3" s="1">
        <v>454.06711409395746</v>
      </c>
      <c r="BI3" s="1">
        <v>467.96185093606323</v>
      </c>
      <c r="BJ3" s="1">
        <v>473.80289650299778</v>
      </c>
      <c r="BK3" s="1">
        <v>442.1881314023297</v>
      </c>
      <c r="BL3" s="1">
        <v>428.92179441893109</v>
      </c>
      <c r="BM3" s="1">
        <v>444.11126810314204</v>
      </c>
      <c r="BN3" s="1">
        <v>418.30914871070274</v>
      </c>
      <c r="BO3" s="1">
        <v>410.69650300246798</v>
      </c>
      <c r="BP3" s="1">
        <v>410.99650300246805</v>
      </c>
      <c r="BQ3" s="1">
        <v>419.19123984457326</v>
      </c>
      <c r="BR3" s="1">
        <v>411.57859413634384</v>
      </c>
      <c r="BS3" s="1">
        <v>403.96594842811561</v>
      </c>
      <c r="BT3" s="1">
        <v>394.7122571529456</v>
      </c>
      <c r="BU3" s="1">
        <v>403.2069939950502</v>
      </c>
      <c r="BV3" s="1">
        <v>405.60699399505023</v>
      </c>
      <c r="BW3" s="1">
        <v>378.94875063351355</v>
      </c>
      <c r="BX3" s="1">
        <v>391.04592016954626</v>
      </c>
      <c r="BY3" s="1">
        <v>400.14065701165202</v>
      </c>
      <c r="BZ3" s="1">
        <v>385.23327446131805</v>
      </c>
      <c r="CA3" s="1">
        <v>378.53853761921221</v>
      </c>
      <c r="CB3" s="1">
        <v>387.63327446131797</v>
      </c>
      <c r="CC3" s="1">
        <v>404.62274814552893</v>
      </c>
      <c r="CD3" s="1">
        <v>397.61010243729959</v>
      </c>
      <c r="CE3" s="1">
        <v>390.915365595195</v>
      </c>
      <c r="CF3" s="1">
        <v>376.00798304485494</v>
      </c>
      <c r="CG3" s="1">
        <v>377.20798304485493</v>
      </c>
      <c r="CH3" s="1">
        <v>386.30271988695949</v>
      </c>
      <c r="CI3" s="1">
        <v>379.60798304485496</v>
      </c>
      <c r="CJ3" s="1">
        <v>364.70060049452093</v>
      </c>
      <c r="CK3" s="1">
        <v>365.90060049452086</v>
      </c>
      <c r="CL3" s="1">
        <v>367.1006004945209</v>
      </c>
      <c r="CM3" s="1">
        <v>360.24690921935093</v>
      </c>
      <c r="CN3" s="1">
        <v>364.72900035322687</v>
      </c>
      <c r="CO3" s="1">
        <v>358.47530907806276</v>
      </c>
      <c r="CP3" s="1">
        <v>368.01109148710384</v>
      </c>
      <c r="CQ3" s="1">
        <v>361.91635464499865</v>
      </c>
      <c r="CR3" s="1">
        <v>355.66266336982869</v>
      </c>
      <c r="CS3" s="1">
        <v>340.9142352525588</v>
      </c>
      <c r="CT3" s="1">
        <v>331.40685270221877</v>
      </c>
      <c r="CU3" s="1">
        <v>338.60685270221882</v>
      </c>
      <c r="CV3" s="1">
        <v>341.73728748482819</v>
      </c>
      <c r="CW3" s="1">
        <v>352.50158954432459</v>
      </c>
    </row>
    <row r="4" spans="1:101" x14ac:dyDescent="0.45">
      <c r="A4" s="1" t="s">
        <v>12</v>
      </c>
      <c r="B4" s="9">
        <v>5556.6960703022023</v>
      </c>
    </row>
    <row r="5" spans="1:101" x14ac:dyDescent="0.45">
      <c r="A5" s="1" t="s">
        <v>11</v>
      </c>
      <c r="B5" s="9">
        <v>-0.70624673581068986</v>
      </c>
    </row>
    <row r="7" spans="1:101" x14ac:dyDescent="0.45">
      <c r="A7" s="1" t="s">
        <v>10</v>
      </c>
      <c r="B7" s="8">
        <f>SUMPRODUCT(AD11:CW11,AD11:CW11)</f>
        <v>39583.84234594513</v>
      </c>
    </row>
    <row r="8" spans="1:101" ht="16.3" thickBot="1" x14ac:dyDescent="0.5">
      <c r="F8" s="1" t="s">
        <v>9</v>
      </c>
      <c r="G8" s="14" t="s">
        <v>8</v>
      </c>
      <c r="H8" s="7">
        <v>-3.1733294426636799E-3</v>
      </c>
      <c r="I8" s="7">
        <v>0.28228042019258398</v>
      </c>
      <c r="J8" s="7">
        <v>0.70903851765392101</v>
      </c>
      <c r="K8" s="7">
        <v>1.1334257367960201</v>
      </c>
      <c r="L8" s="7">
        <v>2.1239786985701699</v>
      </c>
      <c r="M8" s="7">
        <v>2.47818791946308</v>
      </c>
      <c r="N8" s="7">
        <v>3.1145316603443201</v>
      </c>
      <c r="O8" s="7">
        <v>3.6806974029763602</v>
      </c>
      <c r="P8" s="7">
        <v>4.2473373212722398</v>
      </c>
      <c r="Q8" s="7">
        <v>4.8841552378173301</v>
      </c>
      <c r="R8" s="7">
        <v>5.3094908082871299</v>
      </c>
      <c r="S8" s="7">
        <v>6.5096294134811696</v>
      </c>
      <c r="T8" s="7">
        <v>7.0056171578640098</v>
      </c>
      <c r="U8" s="7">
        <v>7.2901225561715703</v>
      </c>
      <c r="V8" s="7">
        <v>7.6457543040560196</v>
      </c>
      <c r="W8" s="7">
        <v>8.0018602276043094</v>
      </c>
      <c r="X8" s="7">
        <v>8.5727677268748099</v>
      </c>
      <c r="Y8" s="7">
        <v>8.7875693025970207</v>
      </c>
      <c r="Z8" s="7">
        <v>9.3575284505398209</v>
      </c>
      <c r="AA8" s="7">
        <v>9.6425080245112298</v>
      </c>
      <c r="AB8" s="7">
        <v>9.9990881237233697</v>
      </c>
      <c r="AC8" s="7">
        <v>10.355194047271601</v>
      </c>
      <c r="AD8" s="7">
        <v>10.6411219725707</v>
      </c>
      <c r="AE8" s="7">
        <v>11.139006419608901</v>
      </c>
      <c r="AF8" s="7">
        <v>11.637365042311</v>
      </c>
      <c r="AG8" s="7">
        <v>11.9934709658593</v>
      </c>
      <c r="AH8" s="7">
        <v>12.4918295885614</v>
      </c>
      <c r="AI8" s="7">
        <v>12.9185876860227</v>
      </c>
      <c r="AJ8" s="7">
        <v>13.4164721330609</v>
      </c>
      <c r="AK8" s="7">
        <v>13.843704406186101</v>
      </c>
      <c r="AL8" s="7">
        <v>14.4828932010504</v>
      </c>
      <c r="AM8" s="7">
        <v>14.980303472424801</v>
      </c>
      <c r="AN8" s="7">
        <v>15.4777137437992</v>
      </c>
      <c r="AO8" s="7">
        <v>15.9044718412605</v>
      </c>
      <c r="AP8" s="7">
        <v>16.472060110884101</v>
      </c>
      <c r="AQ8" s="7">
        <v>16.9689962065946</v>
      </c>
      <c r="AR8" s="7">
        <v>17.890319521447299</v>
      </c>
      <c r="AS8" s="7">
        <v>18.457433615406998</v>
      </c>
      <c r="AT8" s="7">
        <v>19.025021885030601</v>
      </c>
      <c r="AU8" s="7">
        <v>19.8747446746425</v>
      </c>
      <c r="AV8" s="7">
        <v>20.370732419025298</v>
      </c>
      <c r="AW8" s="7">
        <v>21.291107382550301</v>
      </c>
      <c r="AX8" s="7">
        <v>22.212430697402901</v>
      </c>
      <c r="AY8" s="7">
        <v>23.134228187919401</v>
      </c>
      <c r="AZ8" s="7">
        <v>24.195907499270501</v>
      </c>
      <c r="BA8" s="7">
        <v>24.833199591479399</v>
      </c>
      <c r="BB8" s="7">
        <v>25.3277648088707</v>
      </c>
      <c r="BC8" s="7">
        <v>26.602823168952401</v>
      </c>
      <c r="BD8" s="7">
        <v>27.1689889115844</v>
      </c>
      <c r="BE8" s="7">
        <v>27.736103005544201</v>
      </c>
      <c r="BF8" s="7">
        <v>28.867960315144401</v>
      </c>
      <c r="BG8" s="7">
        <v>29.574956229938699</v>
      </c>
      <c r="BH8" s="7">
        <v>30.142544499562302</v>
      </c>
      <c r="BI8" s="7">
        <v>30.7784140647796</v>
      </c>
      <c r="BJ8" s="7">
        <v>31.273453457834801</v>
      </c>
      <c r="BK8" s="7">
        <v>32.264480595272801</v>
      </c>
      <c r="BL8" s="7">
        <v>32.760468339655603</v>
      </c>
      <c r="BM8" s="7">
        <v>33.325685730959997</v>
      </c>
      <c r="BN8" s="7">
        <v>34.033155821418099</v>
      </c>
      <c r="BO8" s="7">
        <v>34.811278085789297</v>
      </c>
      <c r="BP8" s="7">
        <v>35.729756346658803</v>
      </c>
      <c r="BQ8" s="7">
        <v>36.506930259702301</v>
      </c>
      <c r="BR8" s="7">
        <v>37.214400350160403</v>
      </c>
      <c r="BS8" s="7">
        <v>38.063174788444698</v>
      </c>
      <c r="BT8" s="7">
        <v>38.770170703238897</v>
      </c>
      <c r="BU8" s="7">
        <v>39.476692442369398</v>
      </c>
      <c r="BV8" s="7">
        <v>40.536475051064997</v>
      </c>
      <c r="BW8" s="7">
        <v>41.032936971111702</v>
      </c>
      <c r="BX8" s="7">
        <v>41.809636708491396</v>
      </c>
      <c r="BY8" s="7">
        <v>42.304201925882701</v>
      </c>
      <c r="BZ8" s="7">
        <v>43.647541581558201</v>
      </c>
      <c r="CA8" s="7">
        <v>44.212758972862503</v>
      </c>
      <c r="CB8" s="7">
        <v>44.8486285380799</v>
      </c>
      <c r="CC8" s="7">
        <v>45.272541581558201</v>
      </c>
      <c r="CD8" s="7">
        <v>45.838707324190203</v>
      </c>
      <c r="CE8" s="7">
        <v>47.039794280711902</v>
      </c>
      <c r="CF8" s="7">
        <v>47.464655675517903</v>
      </c>
      <c r="CG8" s="7">
        <v>47.888568718996197</v>
      </c>
      <c r="CH8" s="7">
        <v>48.524438284213602</v>
      </c>
      <c r="CI8" s="7">
        <v>49.089655675517903</v>
      </c>
      <c r="CJ8" s="7">
        <v>49.938430113802099</v>
      </c>
      <c r="CK8" s="7">
        <v>50.6449518529325</v>
      </c>
      <c r="CL8" s="7">
        <v>51.422125765975998</v>
      </c>
      <c r="CM8" s="7">
        <v>52.0584695068573</v>
      </c>
      <c r="CN8" s="7">
        <v>53.119200466880599</v>
      </c>
      <c r="CO8" s="7">
        <v>53.896848555587901</v>
      </c>
      <c r="CP8" s="7">
        <v>54.391887948643102</v>
      </c>
      <c r="CQ8" s="7">
        <v>54.8864531660344</v>
      </c>
      <c r="CR8" s="7">
        <v>55.593449080828698</v>
      </c>
      <c r="CS8" s="7">
        <v>56.300444995622897</v>
      </c>
      <c r="CT8" s="7">
        <v>57.149219433907199</v>
      </c>
      <c r="CU8" s="7">
        <v>57.785088999124604</v>
      </c>
      <c r="CV8" s="7">
        <v>58.420958564342001</v>
      </c>
      <c r="CW8" s="7">
        <v>58.844871607820203</v>
      </c>
    </row>
    <row r="9" spans="1:101" x14ac:dyDescent="0.45">
      <c r="F9" s="1" t="s">
        <v>20</v>
      </c>
      <c r="G9" s="15" t="s">
        <v>7</v>
      </c>
      <c r="H9" s="8">
        <v>823.76453242824095</v>
      </c>
      <c r="I9" s="8">
        <v>778.53162962849501</v>
      </c>
      <c r="J9" s="8">
        <v>754.16829204613407</v>
      </c>
      <c r="K9" s="8">
        <v>772.6134566062085</v>
      </c>
      <c r="L9" s="8">
        <v>774.95123861594277</v>
      </c>
      <c r="M9" s="8">
        <v>785.34271190084746</v>
      </c>
      <c r="N9" s="8">
        <v>793.35309385222683</v>
      </c>
      <c r="O9" s="8">
        <v>824.61413235452267</v>
      </c>
      <c r="P9" s="8">
        <v>826.95191436425762</v>
      </c>
      <c r="Q9" s="8">
        <v>834.80334188257018</v>
      </c>
      <c r="R9" s="8">
        <v>858.01068910970207</v>
      </c>
      <c r="S9" s="8">
        <v>905.69701902845225</v>
      </c>
      <c r="T9" s="8">
        <v>939.33914886428636</v>
      </c>
      <c r="U9" s="8">
        <v>967.4676331915299</v>
      </c>
      <c r="V9" s="8">
        <v>995.43716308571277</v>
      </c>
      <c r="W9" s="8">
        <v>1015.3530017047262</v>
      </c>
      <c r="X9" s="8">
        <v>979.05195583063301</v>
      </c>
      <c r="Y9" s="8">
        <v>1001.5078402162386</v>
      </c>
      <c r="Z9" s="8">
        <v>978.77413112588874</v>
      </c>
      <c r="AA9" s="8">
        <v>1006.7436610200714</v>
      </c>
      <c r="AB9" s="8">
        <v>1010.7110715218171</v>
      </c>
      <c r="AC9" s="8">
        <v>1033.1669559074217</v>
      </c>
      <c r="AD9" s="1">
        <f>$B$4*(AD8^$B$5)</f>
        <v>1045.9480852446509</v>
      </c>
      <c r="AE9" s="1">
        <f t="shared" ref="AE9:CP9" si="0">$B$4*(AE8^$B$5)</f>
        <v>1012.709192185629</v>
      </c>
      <c r="AF9" s="1">
        <f t="shared" si="0"/>
        <v>981.88419739944743</v>
      </c>
      <c r="AG9" s="1">
        <f t="shared" si="0"/>
        <v>961.20348748012225</v>
      </c>
      <c r="AH9" s="1">
        <f t="shared" si="0"/>
        <v>933.95956510977965</v>
      </c>
      <c r="AI9" s="1">
        <f t="shared" si="0"/>
        <v>912.06260600217536</v>
      </c>
      <c r="AJ9" s="1">
        <f t="shared" si="0"/>
        <v>888.02614310198908</v>
      </c>
      <c r="AK9" s="1">
        <f t="shared" si="0"/>
        <v>868.58218828994359</v>
      </c>
      <c r="AL9" s="1">
        <f t="shared" si="0"/>
        <v>841.32996469479065</v>
      </c>
      <c r="AM9" s="1">
        <f t="shared" si="0"/>
        <v>821.5028009339926</v>
      </c>
      <c r="AN9" s="1">
        <f t="shared" si="0"/>
        <v>802.76807325617972</v>
      </c>
      <c r="AO9" s="1">
        <f t="shared" si="0"/>
        <v>787.49461697429285</v>
      </c>
      <c r="AP9" s="1">
        <f t="shared" si="0"/>
        <v>768.23200733448675</v>
      </c>
      <c r="AQ9" s="1">
        <f t="shared" si="0"/>
        <v>752.27390860422281</v>
      </c>
      <c r="AR9" s="1">
        <f t="shared" si="0"/>
        <v>724.70156784551011</v>
      </c>
      <c r="AS9" s="1">
        <f t="shared" si="0"/>
        <v>708.90376833513665</v>
      </c>
      <c r="AT9" s="1">
        <f t="shared" si="0"/>
        <v>693.90085302111402</v>
      </c>
      <c r="AU9" s="1">
        <f t="shared" si="0"/>
        <v>672.81459794303714</v>
      </c>
      <c r="AV9" s="1">
        <f t="shared" si="0"/>
        <v>661.20324097262289</v>
      </c>
      <c r="AW9" s="1">
        <f t="shared" si="0"/>
        <v>640.88626529257976</v>
      </c>
      <c r="AX9" s="1">
        <f t="shared" si="0"/>
        <v>621.99594465396399</v>
      </c>
      <c r="AY9" s="1">
        <f t="shared" si="0"/>
        <v>604.38822146049222</v>
      </c>
      <c r="AZ9" s="1">
        <f t="shared" si="0"/>
        <v>585.53577158515009</v>
      </c>
      <c r="BA9" s="1">
        <f t="shared" si="0"/>
        <v>574.88286900616083</v>
      </c>
      <c r="BB9" s="1">
        <f t="shared" si="0"/>
        <v>566.93195827927457</v>
      </c>
      <c r="BC9" s="1">
        <f t="shared" si="0"/>
        <v>547.60333800198794</v>
      </c>
      <c r="BD9" s="1">
        <f t="shared" si="0"/>
        <v>539.51923336718619</v>
      </c>
      <c r="BE9" s="1">
        <f t="shared" si="0"/>
        <v>531.70471375841123</v>
      </c>
      <c r="BF9" s="1">
        <f t="shared" si="0"/>
        <v>516.89524845354401</v>
      </c>
      <c r="BG9" s="1">
        <f t="shared" si="0"/>
        <v>508.13755259164577</v>
      </c>
      <c r="BH9" s="1">
        <f t="shared" si="0"/>
        <v>501.36112889874096</v>
      </c>
      <c r="BI9" s="1">
        <f t="shared" si="0"/>
        <v>494.02348564908851</v>
      </c>
      <c r="BJ9" s="1">
        <f t="shared" si="0"/>
        <v>488.48764660463297</v>
      </c>
      <c r="BK9" s="1">
        <f t="shared" si="0"/>
        <v>477.84248919081341</v>
      </c>
      <c r="BL9" s="1">
        <f t="shared" si="0"/>
        <v>472.72174512490017</v>
      </c>
      <c r="BM9" s="1">
        <f t="shared" si="0"/>
        <v>467.04516271496072</v>
      </c>
      <c r="BN9" s="1">
        <f t="shared" si="0"/>
        <v>460.16724199170574</v>
      </c>
      <c r="BO9" s="1">
        <f t="shared" si="0"/>
        <v>452.87875490434328</v>
      </c>
      <c r="BP9" s="1">
        <f t="shared" si="0"/>
        <v>444.62536685830787</v>
      </c>
      <c r="BQ9" s="1">
        <f t="shared" si="0"/>
        <v>437.91939094307469</v>
      </c>
      <c r="BR9" s="1">
        <f t="shared" si="0"/>
        <v>432.0232389845969</v>
      </c>
      <c r="BS9" s="1">
        <f t="shared" si="0"/>
        <v>425.1969489035817</v>
      </c>
      <c r="BT9" s="1">
        <f t="shared" si="0"/>
        <v>419.70613589796591</v>
      </c>
      <c r="BU9" s="1">
        <f t="shared" si="0"/>
        <v>414.38706786427764</v>
      </c>
      <c r="BV9" s="1">
        <f t="shared" si="0"/>
        <v>406.70608249731663</v>
      </c>
      <c r="BW9" s="1">
        <f t="shared" si="0"/>
        <v>403.22458892347731</v>
      </c>
      <c r="BX9" s="1">
        <f t="shared" si="0"/>
        <v>397.91973817969085</v>
      </c>
      <c r="BY9" s="1">
        <f t="shared" si="0"/>
        <v>394.62863983666279</v>
      </c>
      <c r="BZ9" s="1">
        <f t="shared" si="0"/>
        <v>386.01163617418996</v>
      </c>
      <c r="CA9" s="1">
        <f t="shared" si="0"/>
        <v>382.51987951730837</v>
      </c>
      <c r="CB9" s="1">
        <f t="shared" si="0"/>
        <v>378.68158452760798</v>
      </c>
      <c r="CC9" s="1">
        <f t="shared" si="0"/>
        <v>376.17390615069536</v>
      </c>
      <c r="CD9" s="1">
        <f t="shared" si="0"/>
        <v>372.88654279446558</v>
      </c>
      <c r="CE9" s="1">
        <f t="shared" si="0"/>
        <v>366.13681892987989</v>
      </c>
      <c r="CF9" s="1">
        <f t="shared" si="0"/>
        <v>363.81915958976379</v>
      </c>
      <c r="CG9" s="1">
        <f t="shared" si="0"/>
        <v>361.54168577285162</v>
      </c>
      <c r="CH9" s="1">
        <f t="shared" si="0"/>
        <v>358.18923675242331</v>
      </c>
      <c r="CI9" s="1">
        <f t="shared" si="0"/>
        <v>355.27159469497036</v>
      </c>
      <c r="CJ9" s="1">
        <f t="shared" si="0"/>
        <v>350.99630880204353</v>
      </c>
      <c r="CK9" s="1">
        <f t="shared" si="0"/>
        <v>347.53099383347296</v>
      </c>
      <c r="CL9" s="1">
        <f t="shared" si="0"/>
        <v>343.81318116737384</v>
      </c>
      <c r="CM9" s="1">
        <f t="shared" si="0"/>
        <v>340.83971838105339</v>
      </c>
      <c r="CN9" s="1">
        <f t="shared" si="0"/>
        <v>336.01864951074987</v>
      </c>
      <c r="CO9" s="1">
        <f t="shared" si="0"/>
        <v>332.58730187850887</v>
      </c>
      <c r="CP9" s="1">
        <f t="shared" si="0"/>
        <v>330.44662953878657</v>
      </c>
      <c r="CQ9" s="1">
        <f t="shared" ref="CQ9:CW9" si="1">$B$4*(CQ8^$B$5)</f>
        <v>328.34094738544633</v>
      </c>
      <c r="CR9" s="1">
        <f t="shared" si="1"/>
        <v>325.38640852283555</v>
      </c>
      <c r="CS9" s="1">
        <f t="shared" si="1"/>
        <v>322.49529210484604</v>
      </c>
      <c r="CT9" s="1">
        <f t="shared" si="1"/>
        <v>319.10517839842237</v>
      </c>
      <c r="CU9" s="1">
        <f t="shared" si="1"/>
        <v>316.62120316996794</v>
      </c>
      <c r="CV9" s="1">
        <f t="shared" si="1"/>
        <v>314.1834327042136</v>
      </c>
      <c r="CW9" s="1">
        <f t="shared" si="1"/>
        <v>312.58325356685424</v>
      </c>
    </row>
    <row r="11" spans="1:101" x14ac:dyDescent="0.45">
      <c r="F11" s="1" t="s">
        <v>6</v>
      </c>
      <c r="AD11" s="1">
        <f>AD9-AD3</f>
        <v>27.143238286283349</v>
      </c>
      <c r="AE11" s="1">
        <f t="shared" ref="AE11:CP11" si="2">AE9-AE3</f>
        <v>18.701236785017272</v>
      </c>
      <c r="AF11" s="1">
        <f t="shared" si="2"/>
        <v>-0.14274038562916758</v>
      </c>
      <c r="AG11" s="1">
        <f t="shared" si="2"/>
        <v>-35.384597848455996</v>
      </c>
      <c r="AH11" s="1">
        <f t="shared" si="2"/>
        <v>-21.883200543774706</v>
      </c>
      <c r="AI11" s="1">
        <f t="shared" si="2"/>
        <v>-31.002176760102657</v>
      </c>
      <c r="AJ11" s="1">
        <f t="shared" si="2"/>
        <v>-24.05227441831903</v>
      </c>
      <c r="AK11" s="1">
        <f t="shared" si="2"/>
        <v>-18.10894865659418</v>
      </c>
      <c r="AL11" s="1">
        <f t="shared" si="2"/>
        <v>-4.7748070097794653</v>
      </c>
      <c r="AM11" s="1">
        <f t="shared" si="2"/>
        <v>-2.2596858198036216</v>
      </c>
      <c r="AN11" s="1">
        <f t="shared" si="2"/>
        <v>2.4435236270758196</v>
      </c>
      <c r="AO11" s="1">
        <f t="shared" si="2"/>
        <v>4.8688740350982016</v>
      </c>
      <c r="AP11" s="1">
        <f t="shared" si="2"/>
        <v>-8.2442723638816915</v>
      </c>
      <c r="AQ11" s="1">
        <f t="shared" si="2"/>
        <v>-18.052907853318857</v>
      </c>
      <c r="AR11" s="1">
        <f t="shared" si="2"/>
        <v>-14.589142150954558</v>
      </c>
      <c r="AS11" s="1">
        <f t="shared" si="2"/>
        <v>-12.066913402759724</v>
      </c>
      <c r="AT11" s="1">
        <f t="shared" si="2"/>
        <v>-0.1743700526151315</v>
      </c>
      <c r="AU11" s="1">
        <f t="shared" si="2"/>
        <v>-4.8353337142342525</v>
      </c>
      <c r="AV11" s="1">
        <f t="shared" si="2"/>
        <v>-8.0750905433550315</v>
      </c>
      <c r="AW11" s="1">
        <f t="shared" si="2"/>
        <v>-10.5937770952645</v>
      </c>
      <c r="AX11" s="1">
        <f t="shared" si="2"/>
        <v>0.64857623291197797</v>
      </c>
      <c r="AY11" s="1">
        <f t="shared" si="2"/>
        <v>19.574129036555746</v>
      </c>
      <c r="AZ11" s="1">
        <f t="shared" si="2"/>
        <v>15.389533506733187</v>
      </c>
      <c r="BA11" s="1">
        <f t="shared" si="2"/>
        <v>12.32562237338459</v>
      </c>
      <c r="BB11" s="1">
        <f t="shared" si="2"/>
        <v>-6.060070962197301</v>
      </c>
      <c r="BC11" s="1">
        <f t="shared" si="2"/>
        <v>38.881884528799446</v>
      </c>
      <c r="BD11" s="1">
        <f t="shared" si="2"/>
        <v>10.43834322236512</v>
      </c>
      <c r="BE11" s="1">
        <f t="shared" si="2"/>
        <v>28.554378187941211</v>
      </c>
      <c r="BF11" s="1">
        <f t="shared" si="2"/>
        <v>46.538023321850915</v>
      </c>
      <c r="BG11" s="1">
        <f t="shared" si="2"/>
        <v>26.496718963954947</v>
      </c>
      <c r="BH11" s="1">
        <f t="shared" si="2"/>
        <v>47.294014804783501</v>
      </c>
      <c r="BI11" s="1">
        <f t="shared" si="2"/>
        <v>26.061634713025285</v>
      </c>
      <c r="BJ11" s="1">
        <f t="shared" si="2"/>
        <v>14.684750101635188</v>
      </c>
      <c r="BK11" s="1">
        <f t="shared" si="2"/>
        <v>35.654357788483708</v>
      </c>
      <c r="BL11" s="1">
        <f t="shared" si="2"/>
        <v>43.799950705969081</v>
      </c>
      <c r="BM11" s="1">
        <f t="shared" si="2"/>
        <v>22.933894611818687</v>
      </c>
      <c r="BN11" s="1">
        <f t="shared" si="2"/>
        <v>41.858093281002994</v>
      </c>
      <c r="BO11" s="1">
        <f t="shared" si="2"/>
        <v>42.182251901875304</v>
      </c>
      <c r="BP11" s="1">
        <f t="shared" si="2"/>
        <v>33.628863855839825</v>
      </c>
      <c r="BQ11" s="1">
        <f t="shared" si="2"/>
        <v>18.728151098501428</v>
      </c>
      <c r="BR11" s="1">
        <f t="shared" si="2"/>
        <v>20.444644848253063</v>
      </c>
      <c r="BS11" s="1">
        <f t="shared" si="2"/>
        <v>21.231000475466089</v>
      </c>
      <c r="BT11" s="1">
        <f t="shared" si="2"/>
        <v>24.993878745020311</v>
      </c>
      <c r="BU11" s="1">
        <f t="shared" si="2"/>
        <v>11.180073869227442</v>
      </c>
      <c r="BV11" s="1">
        <f t="shared" si="2"/>
        <v>1.0990885022663974</v>
      </c>
      <c r="BW11" s="1">
        <f t="shared" si="2"/>
        <v>24.275838289963758</v>
      </c>
      <c r="BX11" s="1">
        <f t="shared" si="2"/>
        <v>6.8738180101445892</v>
      </c>
      <c r="BY11" s="1">
        <f t="shared" si="2"/>
        <v>-5.5120171749892393</v>
      </c>
      <c r="BZ11" s="1">
        <f t="shared" si="2"/>
        <v>0.77836171287191291</v>
      </c>
      <c r="CA11" s="1">
        <f t="shared" si="2"/>
        <v>3.9813418980961615</v>
      </c>
      <c r="CB11" s="1">
        <f t="shared" si="2"/>
        <v>-8.9516899337099858</v>
      </c>
      <c r="CC11" s="1">
        <f t="shared" si="2"/>
        <v>-28.448841994833572</v>
      </c>
      <c r="CD11" s="1">
        <f t="shared" si="2"/>
        <v>-24.723559642834005</v>
      </c>
      <c r="CE11" s="1">
        <f t="shared" si="2"/>
        <v>-24.778546665315105</v>
      </c>
      <c r="CF11" s="1">
        <f t="shared" si="2"/>
        <v>-12.188823455091153</v>
      </c>
      <c r="CG11" s="1">
        <f t="shared" si="2"/>
        <v>-15.666297272003305</v>
      </c>
      <c r="CH11" s="1">
        <f t="shared" si="2"/>
        <v>-28.113483134536182</v>
      </c>
      <c r="CI11" s="1">
        <f t="shared" si="2"/>
        <v>-24.336388349884601</v>
      </c>
      <c r="CJ11" s="1">
        <f t="shared" si="2"/>
        <v>-13.704291692477398</v>
      </c>
      <c r="CK11" s="1">
        <f t="shared" si="2"/>
        <v>-18.369606661047897</v>
      </c>
      <c r="CL11" s="1">
        <f t="shared" si="2"/>
        <v>-23.287419327147063</v>
      </c>
      <c r="CM11" s="1">
        <f t="shared" si="2"/>
        <v>-19.407190838297538</v>
      </c>
      <c r="CN11" s="1">
        <f t="shared" si="2"/>
        <v>-28.710350842476998</v>
      </c>
      <c r="CO11" s="1">
        <f t="shared" si="2"/>
        <v>-25.888007199553897</v>
      </c>
      <c r="CP11" s="1">
        <f t="shared" si="2"/>
        <v>-37.564461948317273</v>
      </c>
      <c r="CQ11" s="1">
        <f t="shared" ref="CQ11:CW11" si="3">CQ9-CQ3</f>
        <v>-33.575407259552321</v>
      </c>
      <c r="CR11" s="1">
        <f t="shared" si="3"/>
        <v>-30.27625484699314</v>
      </c>
      <c r="CS11" s="1">
        <f t="shared" si="3"/>
        <v>-18.418943147712753</v>
      </c>
      <c r="CT11" s="1">
        <f t="shared" si="3"/>
        <v>-12.301674303796403</v>
      </c>
      <c r="CU11" s="1">
        <f t="shared" si="3"/>
        <v>-21.985649532250875</v>
      </c>
      <c r="CV11" s="1">
        <f t="shared" si="3"/>
        <v>-27.553854780614586</v>
      </c>
      <c r="CW11" s="1">
        <f t="shared" si="3"/>
        <v>-39.918335977470349</v>
      </c>
    </row>
    <row r="15" spans="1:101" x14ac:dyDescent="0.45">
      <c r="A15" s="6" t="s">
        <v>5</v>
      </c>
    </row>
    <row r="17" spans="1:5" x14ac:dyDescent="0.45">
      <c r="A17" s="5" t="s">
        <v>4</v>
      </c>
      <c r="B17" s="5" t="s">
        <v>3</v>
      </c>
      <c r="C17" s="5" t="s">
        <v>21</v>
      </c>
      <c r="D17" s="5" t="s">
        <v>22</v>
      </c>
      <c r="E17" s="5" t="s">
        <v>23</v>
      </c>
    </row>
    <row r="18" spans="1:5" x14ac:dyDescent="0.45">
      <c r="A18" s="10">
        <f>B18/12</f>
        <v>-2.6444412022197335E-4</v>
      </c>
      <c r="B18" s="3">
        <v>-3.1733294426636799E-3</v>
      </c>
      <c r="C18" s="11">
        <v>823.76453242824095</v>
      </c>
      <c r="D18" s="3">
        <f>C18*(365/12)</f>
        <v>25056.171194692331</v>
      </c>
      <c r="E18" s="3">
        <f>D18</f>
        <v>25056.171194692331</v>
      </c>
    </row>
    <row r="19" spans="1:5" x14ac:dyDescent="0.45">
      <c r="A19" s="10">
        <f t="shared" ref="A19:A39" si="4">B19/12</f>
        <v>2.3523368349381998E-2</v>
      </c>
      <c r="B19" s="3">
        <v>0.28228042019258398</v>
      </c>
      <c r="C19" s="11">
        <v>778.53162962849501</v>
      </c>
      <c r="D19" s="3">
        <f>C19*(365/12)</f>
        <v>23680.337067866723</v>
      </c>
      <c r="E19" s="3">
        <f>E18+D19</f>
        <v>48736.508262559058</v>
      </c>
    </row>
    <row r="20" spans="1:5" x14ac:dyDescent="0.45">
      <c r="A20" s="10">
        <f t="shared" si="4"/>
        <v>5.9086543137826748E-2</v>
      </c>
      <c r="B20" s="3">
        <v>0.70903851765392101</v>
      </c>
      <c r="C20" s="11">
        <v>754.16829204613407</v>
      </c>
      <c r="D20" s="3">
        <f t="shared" ref="D20:D83" si="5">C20*(365/12)</f>
        <v>22939.285549736578</v>
      </c>
      <c r="E20" s="3">
        <f t="shared" ref="E20:E83" si="6">E19+D20</f>
        <v>71675.79381229564</v>
      </c>
    </row>
    <row r="21" spans="1:5" x14ac:dyDescent="0.45">
      <c r="A21" s="10">
        <f t="shared" si="4"/>
        <v>9.4452144733001675E-2</v>
      </c>
      <c r="B21" s="3">
        <v>1.1334257367960201</v>
      </c>
      <c r="C21" s="11">
        <v>772.6134566062085</v>
      </c>
      <c r="D21" s="3">
        <f t="shared" si="5"/>
        <v>23500.325971772178</v>
      </c>
      <c r="E21" s="3">
        <f t="shared" si="6"/>
        <v>95176.119784067821</v>
      </c>
    </row>
    <row r="22" spans="1:5" x14ac:dyDescent="0.45">
      <c r="A22" s="10">
        <f t="shared" si="4"/>
        <v>0.17699822488084749</v>
      </c>
      <c r="B22" s="3">
        <v>2.1239786985701699</v>
      </c>
      <c r="C22" s="11">
        <v>774.95123861594277</v>
      </c>
      <c r="D22" s="3">
        <f t="shared" si="5"/>
        <v>23571.433507901595</v>
      </c>
      <c r="E22" s="3">
        <f t="shared" si="6"/>
        <v>118747.55329196941</v>
      </c>
    </row>
    <row r="23" spans="1:5" x14ac:dyDescent="0.45">
      <c r="A23" s="10">
        <f t="shared" si="4"/>
        <v>0.20651565995525667</v>
      </c>
      <c r="B23" s="3">
        <v>2.47818791946308</v>
      </c>
      <c r="C23" s="11">
        <v>785.34271190084746</v>
      </c>
      <c r="D23" s="3">
        <f t="shared" si="5"/>
        <v>23887.507486984112</v>
      </c>
      <c r="E23" s="3">
        <f t="shared" si="6"/>
        <v>142635.06077895351</v>
      </c>
    </row>
    <row r="24" spans="1:5" x14ac:dyDescent="0.45">
      <c r="A24" s="10">
        <f t="shared" si="4"/>
        <v>0.25954430502869336</v>
      </c>
      <c r="B24" s="3">
        <v>3.1145316603443201</v>
      </c>
      <c r="C24" s="11">
        <v>793.35309385222683</v>
      </c>
      <c r="D24" s="3">
        <f t="shared" si="5"/>
        <v>24131.156604671902</v>
      </c>
      <c r="E24" s="3">
        <f t="shared" si="6"/>
        <v>166766.21738362542</v>
      </c>
    </row>
    <row r="25" spans="1:5" x14ac:dyDescent="0.45">
      <c r="A25" s="10">
        <f t="shared" si="4"/>
        <v>0.30672478358136335</v>
      </c>
      <c r="B25" s="3">
        <v>3.6806974029763602</v>
      </c>
      <c r="C25" s="11">
        <v>824.61413235452267</v>
      </c>
      <c r="D25" s="3">
        <f t="shared" si="5"/>
        <v>25082.013192450064</v>
      </c>
      <c r="E25" s="3">
        <f t="shared" si="6"/>
        <v>191848.2305760755</v>
      </c>
    </row>
    <row r="26" spans="1:5" x14ac:dyDescent="0.45">
      <c r="A26" s="10">
        <f t="shared" si="4"/>
        <v>0.35394477677268665</v>
      </c>
      <c r="B26" s="3">
        <v>4.2473373212722398</v>
      </c>
      <c r="C26" s="11">
        <v>826.95191436425762</v>
      </c>
      <c r="D26" s="3">
        <f t="shared" si="5"/>
        <v>25153.120728579503</v>
      </c>
      <c r="E26" s="3">
        <f t="shared" si="6"/>
        <v>217001.35130465499</v>
      </c>
    </row>
    <row r="27" spans="1:5" x14ac:dyDescent="0.45">
      <c r="A27" s="10">
        <f t="shared" si="4"/>
        <v>0.40701293648477749</v>
      </c>
      <c r="B27" s="3">
        <v>4.8841552378173301</v>
      </c>
      <c r="C27" s="11">
        <v>834.80334188257018</v>
      </c>
      <c r="D27" s="3">
        <f t="shared" si="5"/>
        <v>25391.934982261511</v>
      </c>
      <c r="E27" s="3">
        <f t="shared" si="6"/>
        <v>242393.2862869165</v>
      </c>
    </row>
    <row r="28" spans="1:5" x14ac:dyDescent="0.45">
      <c r="A28" s="10">
        <f>B28/12</f>
        <v>0.44245756735726083</v>
      </c>
      <c r="B28" s="3">
        <v>5.3094908082871299</v>
      </c>
      <c r="C28" s="11">
        <v>858.01068910970207</v>
      </c>
      <c r="D28" s="3">
        <f t="shared" si="5"/>
        <v>26097.825127086773</v>
      </c>
      <c r="E28" s="3">
        <f t="shared" si="6"/>
        <v>268491.11141400324</v>
      </c>
    </row>
    <row r="29" spans="1:5" x14ac:dyDescent="0.45">
      <c r="A29" s="10">
        <f t="shared" si="4"/>
        <v>0.54246911779009743</v>
      </c>
      <c r="B29" s="3">
        <v>6.5096294134811696</v>
      </c>
      <c r="C29" s="11">
        <v>905.69701902845225</v>
      </c>
      <c r="D29" s="3">
        <f t="shared" si="5"/>
        <v>27548.284328782091</v>
      </c>
      <c r="E29" s="3">
        <f t="shared" si="6"/>
        <v>296039.39574278536</v>
      </c>
    </row>
    <row r="30" spans="1:5" x14ac:dyDescent="0.45">
      <c r="A30" s="10">
        <f t="shared" si="4"/>
        <v>0.58380142982200078</v>
      </c>
      <c r="B30" s="3">
        <v>7.0056171578640098</v>
      </c>
      <c r="C30" s="11">
        <v>939.33914886428636</v>
      </c>
      <c r="D30" s="3">
        <f t="shared" si="5"/>
        <v>28571.565777955377</v>
      </c>
      <c r="E30" s="3">
        <f t="shared" si="6"/>
        <v>324610.96152074076</v>
      </c>
    </row>
    <row r="31" spans="1:5" x14ac:dyDescent="0.45">
      <c r="A31" s="10">
        <f t="shared" si="4"/>
        <v>0.60751021301429753</v>
      </c>
      <c r="B31" s="3">
        <v>7.2901225561715703</v>
      </c>
      <c r="C31" s="11">
        <v>967.4676331915299</v>
      </c>
      <c r="D31" s="3">
        <f t="shared" si="5"/>
        <v>29427.140509575704</v>
      </c>
      <c r="E31" s="3">
        <f t="shared" si="6"/>
        <v>354038.10203031648</v>
      </c>
    </row>
    <row r="32" spans="1:5" x14ac:dyDescent="0.45">
      <c r="A32" s="10">
        <f t="shared" si="4"/>
        <v>0.63714619200466827</v>
      </c>
      <c r="B32" s="3">
        <v>7.6457543040560196</v>
      </c>
      <c r="C32" s="11">
        <v>995.43716308571277</v>
      </c>
      <c r="D32" s="3">
        <f t="shared" si="5"/>
        <v>30277.880377190431</v>
      </c>
      <c r="E32" s="3">
        <f t="shared" si="6"/>
        <v>384315.9824075069</v>
      </c>
    </row>
    <row r="33" spans="1:5" x14ac:dyDescent="0.45">
      <c r="A33" s="10">
        <f t="shared" si="4"/>
        <v>0.66682168563369248</v>
      </c>
      <c r="B33" s="3">
        <v>8.0018602276043094</v>
      </c>
      <c r="C33" s="11">
        <v>1015.3530017047262</v>
      </c>
      <c r="D33" s="3">
        <f t="shared" si="5"/>
        <v>30883.653801852091</v>
      </c>
      <c r="E33" s="3">
        <f t="shared" si="6"/>
        <v>415199.63620935899</v>
      </c>
    </row>
    <row r="34" spans="1:5" x14ac:dyDescent="0.45">
      <c r="A34" s="10">
        <f t="shared" si="4"/>
        <v>0.71439731057290079</v>
      </c>
      <c r="B34" s="3">
        <v>8.5727677268748099</v>
      </c>
      <c r="C34" s="11">
        <v>979.05195583063301</v>
      </c>
      <c r="D34" s="3">
        <f t="shared" si="5"/>
        <v>29779.496989848423</v>
      </c>
      <c r="E34" s="3">
        <f t="shared" si="6"/>
        <v>444979.13319920743</v>
      </c>
    </row>
    <row r="35" spans="1:5" x14ac:dyDescent="0.45">
      <c r="A35" s="10">
        <f t="shared" si="4"/>
        <v>0.7322974418830851</v>
      </c>
      <c r="B35" s="3">
        <v>8.7875693025970207</v>
      </c>
      <c r="C35" s="11">
        <v>1001.5078402162386</v>
      </c>
      <c r="D35" s="3">
        <f t="shared" si="5"/>
        <v>30462.530139910592</v>
      </c>
      <c r="E35" s="3">
        <f t="shared" si="6"/>
        <v>475441.66333911801</v>
      </c>
    </row>
    <row r="36" spans="1:5" x14ac:dyDescent="0.45">
      <c r="A36" s="10">
        <f t="shared" si="4"/>
        <v>0.77979403754498511</v>
      </c>
      <c r="B36" s="3">
        <v>9.3575284505398209</v>
      </c>
      <c r="C36" s="11">
        <v>978.77413112588874</v>
      </c>
      <c r="D36" s="3">
        <f t="shared" si="5"/>
        <v>29771.046488412452</v>
      </c>
      <c r="E36" s="3">
        <f t="shared" si="6"/>
        <v>505212.70982753043</v>
      </c>
    </row>
    <row r="37" spans="1:5" x14ac:dyDescent="0.45">
      <c r="A37" s="10">
        <f t="shared" si="4"/>
        <v>0.80354233537593578</v>
      </c>
      <c r="B37" s="3">
        <v>9.6425080245112298</v>
      </c>
      <c r="C37" s="11">
        <v>1006.7436610200714</v>
      </c>
      <c r="D37" s="3">
        <f t="shared" si="5"/>
        <v>30621.786356027173</v>
      </c>
      <c r="E37" s="3">
        <f t="shared" si="6"/>
        <v>535834.49618355755</v>
      </c>
    </row>
    <row r="38" spans="1:5" x14ac:dyDescent="0.45">
      <c r="A38" s="10">
        <f t="shared" si="4"/>
        <v>0.83325734364361415</v>
      </c>
      <c r="B38" s="3">
        <v>9.9990881237233697</v>
      </c>
      <c r="C38" s="11">
        <v>1010.7110715218171</v>
      </c>
      <c r="D38" s="3">
        <f t="shared" si="5"/>
        <v>30742.461758788602</v>
      </c>
      <c r="E38" s="3">
        <f t="shared" si="6"/>
        <v>566576.95794234611</v>
      </c>
    </row>
    <row r="39" spans="1:5" x14ac:dyDescent="0.45">
      <c r="A39" s="10">
        <f t="shared" si="4"/>
        <v>0.86293283727263337</v>
      </c>
      <c r="B39" s="3">
        <v>10.355194047271601</v>
      </c>
      <c r="C39" s="11">
        <v>1033.1669559074217</v>
      </c>
      <c r="D39" s="3">
        <f t="shared" si="5"/>
        <v>31425.494908850742</v>
      </c>
      <c r="E39" s="3">
        <f t="shared" si="6"/>
        <v>598002.45285119687</v>
      </c>
    </row>
    <row r="40" spans="1:5" x14ac:dyDescent="0.45">
      <c r="A40" s="10">
        <f>(11/12)</f>
        <v>0.91666666666666663</v>
      </c>
      <c r="B40" s="3">
        <f>A40*12</f>
        <v>11</v>
      </c>
      <c r="C40" s="3">
        <f>$B$4*(B40^$B$5)</f>
        <v>1021.7307371131864</v>
      </c>
      <c r="D40" s="3">
        <f t="shared" si="5"/>
        <v>31077.64325385942</v>
      </c>
      <c r="E40" s="3">
        <f t="shared" si="6"/>
        <v>629080.09610505623</v>
      </c>
    </row>
    <row r="41" spans="1:5" x14ac:dyDescent="0.45">
      <c r="A41" s="10">
        <f>A40+(1/12)</f>
        <v>1</v>
      </c>
      <c r="B41" s="3">
        <f>A41*12</f>
        <v>12</v>
      </c>
      <c r="C41" s="3">
        <f>$B$4*(B41^$B$5)</f>
        <v>960.83410678204245</v>
      </c>
      <c r="D41" s="3">
        <f t="shared" si="5"/>
        <v>29225.370747953792</v>
      </c>
      <c r="E41" s="3">
        <f t="shared" si="6"/>
        <v>658305.46685301</v>
      </c>
    </row>
    <row r="42" spans="1:5" x14ac:dyDescent="0.45">
      <c r="A42" s="10">
        <f t="shared" ref="A42:A105" si="7">A41+(1/12)</f>
        <v>1.0833333333333333</v>
      </c>
      <c r="B42" s="3">
        <f t="shared" ref="B42:B105" si="8">A42*12</f>
        <v>13</v>
      </c>
      <c r="C42" s="3">
        <f t="shared" ref="C42:C105" si="9">$B$4*(B42^$B$5)</f>
        <v>908.02496020122555</v>
      </c>
      <c r="D42" s="3">
        <f t="shared" si="5"/>
        <v>27619.092539453944</v>
      </c>
      <c r="E42" s="3">
        <f t="shared" si="6"/>
        <v>685924.559392464</v>
      </c>
    </row>
    <row r="43" spans="1:5" x14ac:dyDescent="0.45">
      <c r="A43" s="10">
        <f t="shared" si="7"/>
        <v>1.1666666666666665</v>
      </c>
      <c r="B43" s="3">
        <f t="shared" si="8"/>
        <v>13.999999999999998</v>
      </c>
      <c r="C43" s="3">
        <f t="shared" si="9"/>
        <v>861.72255249643035</v>
      </c>
      <c r="D43" s="3">
        <f t="shared" si="5"/>
        <v>26210.727638433091</v>
      </c>
      <c r="E43" s="3">
        <f t="shared" si="6"/>
        <v>712135.2870308971</v>
      </c>
    </row>
    <row r="44" spans="1:5" x14ac:dyDescent="0.45">
      <c r="A44" s="10">
        <f t="shared" si="7"/>
        <v>1.2499999999999998</v>
      </c>
      <c r="B44" s="3">
        <f t="shared" si="8"/>
        <v>14.999999999999996</v>
      </c>
      <c r="C44" s="3">
        <f t="shared" si="9"/>
        <v>820.74081367340602</v>
      </c>
      <c r="D44" s="3">
        <f t="shared" si="5"/>
        <v>24964.199749232768</v>
      </c>
      <c r="E44" s="3">
        <f t="shared" si="6"/>
        <v>737099.48678012984</v>
      </c>
    </row>
    <row r="45" spans="1:5" x14ac:dyDescent="0.45">
      <c r="A45" s="10">
        <f t="shared" si="7"/>
        <v>1.333333333333333</v>
      </c>
      <c r="B45" s="3">
        <f t="shared" si="8"/>
        <v>15.999999999999996</v>
      </c>
      <c r="C45" s="3">
        <f t="shared" si="9"/>
        <v>784.17110587810248</v>
      </c>
      <c r="D45" s="3">
        <f t="shared" si="5"/>
        <v>23851.871137125618</v>
      </c>
      <c r="E45" s="3">
        <f t="shared" si="6"/>
        <v>760951.35791725549</v>
      </c>
    </row>
    <row r="46" spans="1:5" x14ac:dyDescent="0.45">
      <c r="A46" s="10">
        <f t="shared" si="7"/>
        <v>1.4166666666666663</v>
      </c>
      <c r="B46" s="3">
        <f t="shared" si="8"/>
        <v>16.999999999999996</v>
      </c>
      <c r="C46" s="3">
        <f t="shared" si="9"/>
        <v>751.30470554840667</v>
      </c>
      <c r="D46" s="3">
        <f t="shared" si="5"/>
        <v>22852.184793764038</v>
      </c>
      <c r="E46" s="3">
        <f t="shared" si="6"/>
        <v>783803.54271101952</v>
      </c>
    </row>
    <row r="47" spans="1:5" x14ac:dyDescent="0.45">
      <c r="A47" s="10">
        <f t="shared" si="7"/>
        <v>1.4999999999999996</v>
      </c>
      <c r="B47" s="3">
        <f t="shared" si="8"/>
        <v>17.999999999999993</v>
      </c>
      <c r="C47" s="3">
        <f t="shared" si="9"/>
        <v>721.5800773441257</v>
      </c>
      <c r="D47" s="3">
        <f t="shared" si="5"/>
        <v>21948.060685883825</v>
      </c>
      <c r="E47" s="3">
        <f t="shared" si="6"/>
        <v>805751.60339690337</v>
      </c>
    </row>
    <row r="48" spans="1:5" x14ac:dyDescent="0.45">
      <c r="A48" s="10">
        <f t="shared" si="7"/>
        <v>1.5833333333333328</v>
      </c>
      <c r="B48" s="3">
        <f t="shared" si="8"/>
        <v>18.999999999999993</v>
      </c>
      <c r="C48" s="3">
        <f t="shared" si="9"/>
        <v>694.54611538253812</v>
      </c>
      <c r="D48" s="3">
        <f t="shared" si="5"/>
        <v>21125.77767621887</v>
      </c>
      <c r="E48" s="3">
        <f t="shared" si="6"/>
        <v>826877.38107312226</v>
      </c>
    </row>
    <row r="49" spans="1:5" x14ac:dyDescent="0.45">
      <c r="A49" s="10">
        <f t="shared" si="7"/>
        <v>1.6666666666666661</v>
      </c>
      <c r="B49" s="3">
        <f t="shared" si="8"/>
        <v>19.999999999999993</v>
      </c>
      <c r="C49" s="3">
        <f t="shared" si="9"/>
        <v>669.83595498402099</v>
      </c>
      <c r="D49" s="3">
        <f t="shared" si="5"/>
        <v>20374.176964097307</v>
      </c>
      <c r="E49" s="3">
        <f t="shared" si="6"/>
        <v>847251.55803721957</v>
      </c>
    </row>
    <row r="50" spans="1:5" x14ac:dyDescent="0.45">
      <c r="A50" s="10">
        <f t="shared" si="7"/>
        <v>1.7499999999999993</v>
      </c>
      <c r="B50" s="3">
        <f t="shared" si="8"/>
        <v>20.999999999999993</v>
      </c>
      <c r="C50" s="3">
        <f t="shared" si="9"/>
        <v>647.14795373162383</v>
      </c>
      <c r="D50" s="3">
        <f t="shared" si="5"/>
        <v>19684.083592670224</v>
      </c>
      <c r="E50" s="3">
        <f t="shared" si="6"/>
        <v>866935.64162988984</v>
      </c>
    </row>
    <row r="51" spans="1:5" x14ac:dyDescent="0.45">
      <c r="A51" s="10">
        <f t="shared" si="7"/>
        <v>1.8333333333333326</v>
      </c>
      <c r="B51" s="3">
        <f t="shared" si="8"/>
        <v>21.999999999999993</v>
      </c>
      <c r="C51" s="3">
        <f t="shared" si="9"/>
        <v>626.23164070024404</v>
      </c>
      <c r="D51" s="3">
        <f t="shared" si="5"/>
        <v>19047.879071299092</v>
      </c>
      <c r="E51" s="3">
        <f t="shared" si="6"/>
        <v>885983.52070118894</v>
      </c>
    </row>
    <row r="52" spans="1:5" x14ac:dyDescent="0.45">
      <c r="A52" s="10">
        <f t="shared" si="7"/>
        <v>1.9166666666666659</v>
      </c>
      <c r="B52" s="3">
        <f t="shared" si="8"/>
        <v>22.999999999999989</v>
      </c>
      <c r="C52" s="3">
        <f t="shared" si="9"/>
        <v>606.8771753230352</v>
      </c>
      <c r="D52" s="3">
        <f t="shared" si="5"/>
        <v>18459.180749408988</v>
      </c>
      <c r="E52" s="3">
        <f t="shared" si="6"/>
        <v>904442.70145059796</v>
      </c>
    </row>
    <row r="53" spans="1:5" x14ac:dyDescent="0.45">
      <c r="A53" s="10">
        <f t="shared" si="7"/>
        <v>1.9999999999999991</v>
      </c>
      <c r="B53" s="3">
        <f t="shared" si="8"/>
        <v>23.999999999999989</v>
      </c>
      <c r="C53" s="3">
        <f t="shared" si="9"/>
        <v>588.90732878501603</v>
      </c>
      <c r="D53" s="3">
        <f t="shared" si="5"/>
        <v>17912.597917210904</v>
      </c>
      <c r="E53" s="3">
        <f t="shared" si="6"/>
        <v>922355.29936780885</v>
      </c>
    </row>
    <row r="54" spans="1:5" x14ac:dyDescent="0.45">
      <c r="A54" s="10">
        <f t="shared" si="7"/>
        <v>2.0833333333333326</v>
      </c>
      <c r="B54" s="3">
        <f t="shared" si="8"/>
        <v>24.999999999999993</v>
      </c>
      <c r="C54" s="3">
        <f t="shared" si="9"/>
        <v>572.17130703500004</v>
      </c>
      <c r="D54" s="3">
        <f t="shared" si="5"/>
        <v>17403.543922314584</v>
      </c>
      <c r="E54" s="3">
        <f t="shared" si="6"/>
        <v>939758.84329012339</v>
      </c>
    </row>
    <row r="55" spans="1:5" x14ac:dyDescent="0.45">
      <c r="A55" s="10">
        <f t="shared" si="7"/>
        <v>2.1666666666666661</v>
      </c>
      <c r="B55" s="3">
        <f t="shared" si="8"/>
        <v>25.999999999999993</v>
      </c>
      <c r="C55" s="3">
        <f t="shared" si="9"/>
        <v>556.53993754774808</v>
      </c>
      <c r="D55" s="3">
        <f t="shared" si="5"/>
        <v>16928.089767077337</v>
      </c>
      <c r="E55" s="3">
        <f t="shared" si="6"/>
        <v>956686.93305720075</v>
      </c>
    </row>
    <row r="56" spans="1:5" x14ac:dyDescent="0.45">
      <c r="A56" s="10">
        <f t="shared" si="7"/>
        <v>2.2499999999999996</v>
      </c>
      <c r="B56" s="3">
        <f t="shared" si="8"/>
        <v>26.999999999999993</v>
      </c>
      <c r="C56" s="3">
        <f t="shared" si="9"/>
        <v>541.9018791534902</v>
      </c>
      <c r="D56" s="3">
        <f t="shared" si="5"/>
        <v>16482.848824251992</v>
      </c>
      <c r="E56" s="3">
        <f t="shared" si="6"/>
        <v>973169.78188145277</v>
      </c>
    </row>
    <row r="57" spans="1:5" x14ac:dyDescent="0.45">
      <c r="A57" s="10">
        <f t="shared" si="7"/>
        <v>2.333333333333333</v>
      </c>
      <c r="B57" s="3">
        <f t="shared" si="8"/>
        <v>27.999999999999996</v>
      </c>
      <c r="C57" s="3">
        <f t="shared" si="9"/>
        <v>528.16060854050716</v>
      </c>
      <c r="D57" s="3">
        <f t="shared" si="5"/>
        <v>16064.885176440426</v>
      </c>
      <c r="E57" s="3">
        <f t="shared" si="6"/>
        <v>989234.66705789324</v>
      </c>
    </row>
    <row r="58" spans="1:5" x14ac:dyDescent="0.45">
      <c r="A58" s="10">
        <f t="shared" si="7"/>
        <v>2.4166666666666665</v>
      </c>
      <c r="B58" s="3">
        <f t="shared" si="8"/>
        <v>29</v>
      </c>
      <c r="C58" s="3">
        <f t="shared" si="9"/>
        <v>515.23200286437248</v>
      </c>
      <c r="D58" s="3">
        <f t="shared" si="5"/>
        <v>15671.640087124664</v>
      </c>
      <c r="E58" s="3">
        <f t="shared" si="6"/>
        <v>1004906.3071450179</v>
      </c>
    </row>
    <row r="59" spans="1:5" x14ac:dyDescent="0.45">
      <c r="A59" s="10">
        <f t="shared" si="7"/>
        <v>2.5</v>
      </c>
      <c r="B59" s="3">
        <f t="shared" si="8"/>
        <v>30</v>
      </c>
      <c r="C59" s="3">
        <f t="shared" si="9"/>
        <v>503.04238452152231</v>
      </c>
      <c r="D59" s="3">
        <f t="shared" si="5"/>
        <v>15300.872529196304</v>
      </c>
      <c r="E59" s="3">
        <f t="shared" si="6"/>
        <v>1020207.1796742142</v>
      </c>
    </row>
    <row r="60" spans="1:5" x14ac:dyDescent="0.45">
      <c r="A60" s="10">
        <f t="shared" si="7"/>
        <v>2.5833333333333335</v>
      </c>
      <c r="B60" s="3">
        <f t="shared" si="8"/>
        <v>31</v>
      </c>
      <c r="C60" s="3">
        <f t="shared" si="9"/>
        <v>491.52692760849595</v>
      </c>
      <c r="D60" s="3">
        <f t="shared" si="5"/>
        <v>14950.610714758419</v>
      </c>
      <c r="E60" s="3">
        <f t="shared" si="6"/>
        <v>1035157.7903889726</v>
      </c>
    </row>
    <row r="61" spans="1:5" x14ac:dyDescent="0.45">
      <c r="A61" s="10">
        <f t="shared" si="7"/>
        <v>2.666666666666667</v>
      </c>
      <c r="B61" s="3">
        <f t="shared" si="8"/>
        <v>32</v>
      </c>
      <c r="C61" s="3">
        <f t="shared" si="9"/>
        <v>480.62834990288451</v>
      </c>
      <c r="D61" s="3">
        <f t="shared" si="5"/>
        <v>14619.112309546072</v>
      </c>
      <c r="E61" s="3">
        <f t="shared" si="6"/>
        <v>1049776.9026985187</v>
      </c>
    </row>
    <row r="62" spans="1:5" x14ac:dyDescent="0.45">
      <c r="A62" s="10">
        <f t="shared" si="7"/>
        <v>2.7500000000000004</v>
      </c>
      <c r="B62" s="3">
        <f t="shared" si="8"/>
        <v>33.000000000000007</v>
      </c>
      <c r="C62" s="3">
        <f t="shared" si="9"/>
        <v>470.2958320715868</v>
      </c>
      <c r="D62" s="3">
        <f t="shared" si="5"/>
        <v>14304.831558844098</v>
      </c>
      <c r="E62" s="3">
        <f t="shared" si="6"/>
        <v>1064081.7342573628</v>
      </c>
    </row>
    <row r="63" spans="1:5" x14ac:dyDescent="0.45">
      <c r="A63" s="10">
        <f t="shared" si="7"/>
        <v>2.8333333333333339</v>
      </c>
      <c r="B63" s="3">
        <f t="shared" si="8"/>
        <v>34.000000000000007</v>
      </c>
      <c r="C63" s="3">
        <f t="shared" si="9"/>
        <v>460.4841190847639</v>
      </c>
      <c r="D63" s="3">
        <f t="shared" si="5"/>
        <v>14006.391955494903</v>
      </c>
      <c r="E63" s="3">
        <f t="shared" si="6"/>
        <v>1078088.1262128577</v>
      </c>
    </row>
    <row r="64" spans="1:5" x14ac:dyDescent="0.45">
      <c r="A64" s="10">
        <f t="shared" si="7"/>
        <v>2.9166666666666674</v>
      </c>
      <c r="B64" s="3">
        <f t="shared" si="8"/>
        <v>35.000000000000007</v>
      </c>
      <c r="C64" s="3">
        <f t="shared" si="9"/>
        <v>451.15276877042533</v>
      </c>
      <c r="D64" s="3">
        <f t="shared" si="5"/>
        <v>13722.563383433771</v>
      </c>
      <c r="E64" s="3">
        <f t="shared" si="6"/>
        <v>1091810.6895962914</v>
      </c>
    </row>
    <row r="65" spans="1:5" x14ac:dyDescent="0.45">
      <c r="A65" s="10">
        <f t="shared" si="7"/>
        <v>3.0000000000000009</v>
      </c>
      <c r="B65" s="3">
        <f t="shared" si="8"/>
        <v>36.000000000000014</v>
      </c>
      <c r="C65" s="3">
        <f t="shared" si="9"/>
        <v>442.26551998284663</v>
      </c>
      <c r="D65" s="3">
        <f t="shared" si="5"/>
        <v>13452.242899478251</v>
      </c>
      <c r="E65" s="3">
        <f t="shared" si="6"/>
        <v>1105262.9324957696</v>
      </c>
    </row>
    <row r="66" spans="1:5" x14ac:dyDescent="0.45">
      <c r="A66" s="10">
        <f t="shared" si="7"/>
        <v>3.0833333333333344</v>
      </c>
      <c r="B66" s="3">
        <f t="shared" si="8"/>
        <v>37.000000000000014</v>
      </c>
      <c r="C66" s="3">
        <f t="shared" si="9"/>
        <v>433.78975861508127</v>
      </c>
      <c r="D66" s="3">
        <f t="shared" si="5"/>
        <v>13194.438491208723</v>
      </c>
      <c r="E66" s="3">
        <f t="shared" si="6"/>
        <v>1118457.3709869783</v>
      </c>
    </row>
    <row r="67" spans="1:5" x14ac:dyDescent="0.45">
      <c r="A67" s="10">
        <f t="shared" si="7"/>
        <v>3.1666666666666679</v>
      </c>
      <c r="B67" s="3">
        <f t="shared" si="8"/>
        <v>38.000000000000014</v>
      </c>
      <c r="C67" s="3">
        <f t="shared" si="9"/>
        <v>425.69606411851032</v>
      </c>
      <c r="D67" s="3">
        <f t="shared" si="5"/>
        <v>12948.255283604689</v>
      </c>
      <c r="E67" s="3">
        <f t="shared" si="6"/>
        <v>1131405.6262705829</v>
      </c>
    </row>
    <row r="68" spans="1:5" x14ac:dyDescent="0.45">
      <c r="A68" s="10">
        <f t="shared" si="7"/>
        <v>3.2500000000000013</v>
      </c>
      <c r="B68" s="3">
        <f t="shared" si="8"/>
        <v>39.000000000000014</v>
      </c>
      <c r="C68" s="3">
        <f t="shared" si="9"/>
        <v>417.95782263159776</v>
      </c>
      <c r="D68" s="3">
        <f t="shared" si="5"/>
        <v>12712.8837717111</v>
      </c>
      <c r="E68" s="3">
        <f t="shared" si="6"/>
        <v>1144118.5100422939</v>
      </c>
    </row>
    <row r="69" spans="1:5" x14ac:dyDescent="0.45">
      <c r="A69" s="10">
        <f t="shared" si="7"/>
        <v>3.3333333333333348</v>
      </c>
      <c r="B69" s="3">
        <f t="shared" si="8"/>
        <v>40.000000000000014</v>
      </c>
      <c r="C69" s="3">
        <f t="shared" si="9"/>
        <v>410.55089550779479</v>
      </c>
      <c r="D69" s="3">
        <f t="shared" si="5"/>
        <v>12487.589738362092</v>
      </c>
      <c r="E69" s="3">
        <f t="shared" si="6"/>
        <v>1156606.0997806559</v>
      </c>
    </row>
    <row r="70" spans="1:5" x14ac:dyDescent="0.45">
      <c r="A70" s="10">
        <f t="shared" si="7"/>
        <v>3.4166666666666683</v>
      </c>
      <c r="B70" s="3">
        <f t="shared" si="8"/>
        <v>41.000000000000021</v>
      </c>
      <c r="C70" s="3">
        <f t="shared" si="9"/>
        <v>403.45333414741845</v>
      </c>
      <c r="D70" s="3">
        <f t="shared" si="5"/>
        <v>12271.705580317312</v>
      </c>
      <c r="E70" s="3">
        <f t="shared" si="6"/>
        <v>1168877.8053609733</v>
      </c>
    </row>
    <row r="71" spans="1:5" x14ac:dyDescent="0.45">
      <c r="A71" s="10">
        <f t="shared" si="7"/>
        <v>3.5000000000000018</v>
      </c>
      <c r="B71" s="3">
        <f t="shared" si="8"/>
        <v>42.000000000000021</v>
      </c>
      <c r="C71" s="3">
        <f t="shared" si="9"/>
        <v>396.64513371321368</v>
      </c>
      <c r="D71" s="3">
        <f t="shared" si="5"/>
        <v>12064.62281711025</v>
      </c>
      <c r="E71" s="3">
        <f t="shared" si="6"/>
        <v>1180942.4281780836</v>
      </c>
    </row>
    <row r="72" spans="1:5" x14ac:dyDescent="0.45">
      <c r="A72" s="10">
        <f t="shared" si="7"/>
        <v>3.5833333333333353</v>
      </c>
      <c r="B72" s="3">
        <f t="shared" si="8"/>
        <v>43.000000000000021</v>
      </c>
      <c r="C72" s="3">
        <f t="shared" si="9"/>
        <v>390.1080196438661</v>
      </c>
      <c r="D72" s="3">
        <f t="shared" si="5"/>
        <v>11865.785597500928</v>
      </c>
      <c r="E72" s="3">
        <f t="shared" si="6"/>
        <v>1192808.2137755845</v>
      </c>
    </row>
    <row r="73" spans="1:5" x14ac:dyDescent="0.45">
      <c r="A73" s="10">
        <f t="shared" si="7"/>
        <v>3.6666666666666687</v>
      </c>
      <c r="B73" s="3">
        <f t="shared" si="8"/>
        <v>44.000000000000028</v>
      </c>
      <c r="C73" s="3">
        <f t="shared" si="9"/>
        <v>383.8252619492992</v>
      </c>
      <c r="D73" s="3">
        <f t="shared" si="5"/>
        <v>11674.685050957851</v>
      </c>
      <c r="E73" s="3">
        <f t="shared" si="6"/>
        <v>1204482.8988265423</v>
      </c>
    </row>
    <row r="74" spans="1:5" x14ac:dyDescent="0.45">
      <c r="A74" s="10">
        <f t="shared" si="7"/>
        <v>3.7500000000000022</v>
      </c>
      <c r="B74" s="3">
        <f t="shared" si="8"/>
        <v>45.000000000000028</v>
      </c>
      <c r="C74" s="3">
        <f t="shared" si="9"/>
        <v>377.78151313351913</v>
      </c>
      <c r="D74" s="3">
        <f t="shared" si="5"/>
        <v>11490.854357811208</v>
      </c>
      <c r="E74" s="3">
        <f t="shared" si="6"/>
        <v>1215973.7531843535</v>
      </c>
    </row>
    <row r="75" spans="1:5" x14ac:dyDescent="0.45">
      <c r="A75" s="10">
        <f t="shared" si="7"/>
        <v>3.8333333333333357</v>
      </c>
      <c r="B75" s="3">
        <f t="shared" si="8"/>
        <v>46.000000000000028</v>
      </c>
      <c r="C75" s="3">
        <f t="shared" si="9"/>
        <v>371.96266628902703</v>
      </c>
      <c r="D75" s="3">
        <f t="shared" si="5"/>
        <v>11313.864432957906</v>
      </c>
      <c r="E75" s="3">
        <f t="shared" si="6"/>
        <v>1227287.6176173114</v>
      </c>
    </row>
    <row r="76" spans="1:5" x14ac:dyDescent="0.45">
      <c r="A76" s="10">
        <f t="shared" si="7"/>
        <v>3.9166666666666692</v>
      </c>
      <c r="B76" s="3">
        <f t="shared" si="8"/>
        <v>47.000000000000028</v>
      </c>
      <c r="C76" s="3">
        <f t="shared" si="9"/>
        <v>366.35573047530625</v>
      </c>
      <c r="D76" s="3">
        <f t="shared" si="5"/>
        <v>11143.320135290565</v>
      </c>
      <c r="E76" s="3">
        <f t="shared" si="6"/>
        <v>1238430.9377526019</v>
      </c>
    </row>
    <row r="77" spans="1:5" x14ac:dyDescent="0.45">
      <c r="A77" s="10">
        <f t="shared" si="7"/>
        <v>4.0000000000000027</v>
      </c>
      <c r="B77" s="3">
        <f t="shared" si="8"/>
        <v>48.000000000000028</v>
      </c>
      <c r="C77" s="3">
        <f t="shared" si="9"/>
        <v>360.94872095893885</v>
      </c>
      <c r="D77" s="3">
        <f t="shared" si="5"/>
        <v>10978.856929167723</v>
      </c>
      <c r="E77" s="3">
        <f t="shared" si="6"/>
        <v>1249409.7946817696</v>
      </c>
    </row>
    <row r="78" spans="1:5" x14ac:dyDescent="0.45">
      <c r="A78" s="10">
        <f t="shared" si="7"/>
        <v>4.0833333333333357</v>
      </c>
      <c r="B78" s="3">
        <f t="shared" si="8"/>
        <v>49.000000000000028</v>
      </c>
      <c r="C78" s="3">
        <f t="shared" si="9"/>
        <v>355.73056227506743</v>
      </c>
      <c r="D78" s="3">
        <f t="shared" si="5"/>
        <v>10820.137935866635</v>
      </c>
      <c r="E78" s="3">
        <f t="shared" si="6"/>
        <v>1260229.9326176362</v>
      </c>
    </row>
    <row r="79" spans="1:5" x14ac:dyDescent="0.45">
      <c r="A79" s="10">
        <f t="shared" si="7"/>
        <v>4.1666666666666687</v>
      </c>
      <c r="B79" s="3">
        <f t="shared" si="8"/>
        <v>50.000000000000028</v>
      </c>
      <c r="C79" s="3">
        <f t="shared" si="9"/>
        <v>350.69100238533537</v>
      </c>
      <c r="D79" s="3">
        <f t="shared" si="5"/>
        <v>10666.851322553952</v>
      </c>
      <c r="E79" s="3">
        <f t="shared" si="6"/>
        <v>1270896.7839401902</v>
      </c>
    </row>
    <row r="80" spans="1:5" x14ac:dyDescent="0.45">
      <c r="A80" s="10">
        <f t="shared" si="7"/>
        <v>4.2500000000000018</v>
      </c>
      <c r="B80" s="3">
        <f t="shared" si="8"/>
        <v>51.000000000000021</v>
      </c>
      <c r="C80" s="3">
        <f t="shared" si="9"/>
        <v>345.82053646884077</v>
      </c>
      <c r="D80" s="3">
        <f t="shared" si="5"/>
        <v>10518.707984260574</v>
      </c>
      <c r="E80" s="3">
        <f t="shared" si="6"/>
        <v>1281415.4919244507</v>
      </c>
    </row>
    <row r="81" spans="1:5" x14ac:dyDescent="0.45">
      <c r="A81" s="10">
        <f t="shared" si="7"/>
        <v>4.3333333333333348</v>
      </c>
      <c r="B81" s="3">
        <f t="shared" si="8"/>
        <v>52.000000000000014</v>
      </c>
      <c r="C81" s="3">
        <f t="shared" si="9"/>
        <v>341.11033910016198</v>
      </c>
      <c r="D81" s="3">
        <f t="shared" si="5"/>
        <v>10375.439480963261</v>
      </c>
      <c r="E81" s="3">
        <f t="shared" si="6"/>
        <v>1291790.9314054139</v>
      </c>
    </row>
    <row r="82" spans="1:5" x14ac:dyDescent="0.45">
      <c r="A82" s="10">
        <f t="shared" si="7"/>
        <v>4.4166666666666679</v>
      </c>
      <c r="B82" s="3">
        <f t="shared" si="8"/>
        <v>53.000000000000014</v>
      </c>
      <c r="C82" s="3">
        <f t="shared" si="9"/>
        <v>336.55220375018519</v>
      </c>
      <c r="D82" s="3">
        <f t="shared" si="5"/>
        <v>10236.796197401467</v>
      </c>
      <c r="E82" s="3">
        <f t="shared" si="6"/>
        <v>1302027.7276028153</v>
      </c>
    </row>
    <row r="83" spans="1:5" x14ac:dyDescent="0.45">
      <c r="A83" s="10">
        <f t="shared" si="7"/>
        <v>4.5000000000000009</v>
      </c>
      <c r="B83" s="3">
        <f t="shared" si="8"/>
        <v>54.000000000000014</v>
      </c>
      <c r="C83" s="3">
        <f t="shared" si="9"/>
        <v>332.13848869777303</v>
      </c>
      <c r="D83" s="3">
        <f t="shared" si="5"/>
        <v>10102.545697890597</v>
      </c>
      <c r="E83" s="3">
        <f t="shared" si="6"/>
        <v>1312130.2733007059</v>
      </c>
    </row>
    <row r="84" spans="1:5" x14ac:dyDescent="0.45">
      <c r="A84" s="10">
        <f t="shared" si="7"/>
        <v>4.5833333333333339</v>
      </c>
      <c r="B84" s="3">
        <f t="shared" si="8"/>
        <v>55.000000000000007</v>
      </c>
      <c r="C84" s="3">
        <f t="shared" si="9"/>
        <v>327.86206856844638</v>
      </c>
      <c r="D84" s="3">
        <f t="shared" ref="D84:D147" si="10">C84*(365/12)</f>
        <v>9972.4712522902446</v>
      </c>
      <c r="E84" s="3">
        <f t="shared" ref="E84:E147" si="11">E83+D84</f>
        <v>1322102.7445529962</v>
      </c>
    </row>
    <row r="85" spans="1:5" x14ac:dyDescent="0.45">
      <c r="A85" s="10">
        <f t="shared" si="7"/>
        <v>4.666666666666667</v>
      </c>
      <c r="B85" s="3">
        <f t="shared" si="8"/>
        <v>56</v>
      </c>
      <c r="C85" s="3">
        <f t="shared" si="9"/>
        <v>323.71629082440023</v>
      </c>
      <c r="D85" s="3">
        <f t="shared" si="10"/>
        <v>9846.3705125755077</v>
      </c>
      <c r="E85" s="3">
        <f t="shared" si="11"/>
        <v>1331949.1150655719</v>
      </c>
    </row>
    <row r="86" spans="1:5" x14ac:dyDescent="0.45">
      <c r="A86" s="10">
        <f t="shared" si="7"/>
        <v>4.75</v>
      </c>
      <c r="B86" s="3">
        <f t="shared" si="8"/>
        <v>57</v>
      </c>
      <c r="C86" s="3">
        <f t="shared" si="9"/>
        <v>319.69493662177456</v>
      </c>
      <c r="D86" s="3">
        <f t="shared" si="10"/>
        <v>9724.0543222456436</v>
      </c>
      <c r="E86" s="3">
        <f t="shared" si="11"/>
        <v>1341673.1693878174</v>
      </c>
    </row>
    <row r="87" spans="1:5" x14ac:dyDescent="0.45">
      <c r="A87" s="10">
        <f t="shared" si="7"/>
        <v>4.833333333333333</v>
      </c>
      <c r="B87" s="3">
        <f t="shared" si="8"/>
        <v>58</v>
      </c>
      <c r="C87" s="3">
        <f t="shared" si="9"/>
        <v>315.7921855289016</v>
      </c>
      <c r="D87" s="3">
        <f t="shared" si="10"/>
        <v>9605.3456431707582</v>
      </c>
      <c r="E87" s="3">
        <f t="shared" si="11"/>
        <v>1351278.515030988</v>
      </c>
    </row>
    <row r="88" spans="1:5" x14ac:dyDescent="0.45">
      <c r="A88" s="10">
        <f t="shared" si="7"/>
        <v>4.9166666666666661</v>
      </c>
      <c r="B88" s="3">
        <f t="shared" si="8"/>
        <v>58.999999999999993</v>
      </c>
      <c r="C88" s="3">
        <f t="shared" si="9"/>
        <v>312.00258366555192</v>
      </c>
      <c r="D88" s="3">
        <f t="shared" si="10"/>
        <v>9490.0785864938716</v>
      </c>
      <c r="E88" s="3">
        <f t="shared" si="11"/>
        <v>1360768.5936174819</v>
      </c>
    </row>
    <row r="89" spans="1:5" x14ac:dyDescent="0.45">
      <c r="A89" s="10">
        <f t="shared" si="7"/>
        <v>4.9999999999999991</v>
      </c>
      <c r="B89" s="3">
        <f t="shared" si="8"/>
        <v>59.999999999999986</v>
      </c>
      <c r="C89" s="3">
        <f t="shared" si="9"/>
        <v>308.32101487985125</v>
      </c>
      <c r="D89" s="3">
        <f t="shared" si="10"/>
        <v>9378.0975359288095</v>
      </c>
      <c r="E89" s="3">
        <f t="shared" si="11"/>
        <v>1370146.6911534106</v>
      </c>
    </row>
    <row r="90" spans="1:5" x14ac:dyDescent="0.45">
      <c r="A90" s="10">
        <f t="shared" si="7"/>
        <v>5.0833333333333321</v>
      </c>
      <c r="B90" s="3">
        <f t="shared" si="8"/>
        <v>60.999999999999986</v>
      </c>
      <c r="C90" s="3">
        <f t="shared" si="9"/>
        <v>304.74267462808564</v>
      </c>
      <c r="D90" s="3">
        <f t="shared" si="10"/>
        <v>9269.2563532709391</v>
      </c>
      <c r="E90" s="3">
        <f t="shared" si="11"/>
        <v>1379415.9475066816</v>
      </c>
    </row>
    <row r="91" spans="1:5" x14ac:dyDescent="0.45">
      <c r="A91" s="10">
        <f t="shared" si="7"/>
        <v>5.1666666666666652</v>
      </c>
      <c r="B91" s="3">
        <f t="shared" si="8"/>
        <v>61.999999999999986</v>
      </c>
      <c r="C91" s="3">
        <f t="shared" si="9"/>
        <v>301.26304626433074</v>
      </c>
      <c r="D91" s="3">
        <f t="shared" si="10"/>
        <v>9163.4176572067263</v>
      </c>
      <c r="E91" s="3">
        <f t="shared" si="11"/>
        <v>1388579.3651638883</v>
      </c>
    </row>
    <row r="92" spans="1:5" x14ac:dyDescent="0.45">
      <c r="A92" s="10">
        <f t="shared" si="7"/>
        <v>5.2499999999999982</v>
      </c>
      <c r="B92" s="3">
        <f t="shared" si="8"/>
        <v>62.999999999999979</v>
      </c>
      <c r="C92" s="3">
        <f t="shared" si="9"/>
        <v>297.87787948276542</v>
      </c>
      <c r="D92" s="3">
        <f t="shared" si="10"/>
        <v>9060.4521676007826</v>
      </c>
      <c r="E92" s="3">
        <f t="shared" si="11"/>
        <v>1397639.8173314892</v>
      </c>
    </row>
    <row r="93" spans="1:5" x14ac:dyDescent="0.45">
      <c r="A93" s="10">
        <f t="shared" si="7"/>
        <v>5.3333333333333313</v>
      </c>
      <c r="B93" s="3">
        <f t="shared" si="8"/>
        <v>63.999999999999972</v>
      </c>
      <c r="C93" s="3">
        <f t="shared" si="9"/>
        <v>294.58317068657556</v>
      </c>
      <c r="D93" s="3">
        <f t="shared" si="10"/>
        <v>8960.2381083833407</v>
      </c>
      <c r="E93" s="3">
        <f t="shared" si="11"/>
        <v>1406600.0554398724</v>
      </c>
    </row>
    <row r="94" spans="1:5" x14ac:dyDescent="0.45">
      <c r="A94" s="10">
        <f t="shared" si="7"/>
        <v>5.4166666666666643</v>
      </c>
      <c r="B94" s="3">
        <f t="shared" si="8"/>
        <v>64.999999999999972</v>
      </c>
      <c r="C94" s="3">
        <f t="shared" si="9"/>
        <v>291.3751450842135</v>
      </c>
      <c r="D94" s="3">
        <f t="shared" si="10"/>
        <v>8862.6606629781618</v>
      </c>
      <c r="E94" s="3">
        <f t="shared" si="11"/>
        <v>1415462.7161028506</v>
      </c>
    </row>
    <row r="95" spans="1:5" x14ac:dyDescent="0.45">
      <c r="A95" s="10">
        <f t="shared" si="7"/>
        <v>5.4999999999999973</v>
      </c>
      <c r="B95" s="3">
        <f t="shared" si="8"/>
        <v>65.999999999999972</v>
      </c>
      <c r="C95" s="3">
        <f t="shared" si="9"/>
        <v>288.25024033709803</v>
      </c>
      <c r="D95" s="3">
        <f t="shared" si="10"/>
        <v>8767.6114769200649</v>
      </c>
      <c r="E95" s="3">
        <f t="shared" si="11"/>
        <v>1424230.3275797707</v>
      </c>
    </row>
    <row r="96" spans="1:5" x14ac:dyDescent="0.45">
      <c r="A96" s="10">
        <f t="shared" si="7"/>
        <v>5.5833333333333304</v>
      </c>
      <c r="B96" s="3">
        <f t="shared" si="8"/>
        <v>66.999999999999972</v>
      </c>
      <c r="C96" s="3">
        <f t="shared" si="9"/>
        <v>285.20509160311786</v>
      </c>
      <c r="D96" s="3">
        <f t="shared" si="10"/>
        <v>8674.9882029281689</v>
      </c>
      <c r="E96" s="3">
        <f t="shared" si="11"/>
        <v>1432905.3157826988</v>
      </c>
    </row>
    <row r="97" spans="1:5" x14ac:dyDescent="0.45">
      <c r="A97" s="10">
        <f t="shared" si="7"/>
        <v>5.6666666666666634</v>
      </c>
      <c r="B97" s="3">
        <f t="shared" si="8"/>
        <v>67.999999999999957</v>
      </c>
      <c r="C97" s="3">
        <f t="shared" si="9"/>
        <v>282.23651783798016</v>
      </c>
      <c r="D97" s="3">
        <f t="shared" si="10"/>
        <v>8584.6940842385629</v>
      </c>
      <c r="E97" s="3">
        <f t="shared" si="11"/>
        <v>1441490.0098669373</v>
      </c>
    </row>
    <row r="98" spans="1:5" x14ac:dyDescent="0.45">
      <c r="A98" s="10">
        <f t="shared" si="7"/>
        <v>5.7499999999999964</v>
      </c>
      <c r="B98" s="3">
        <f t="shared" si="8"/>
        <v>68.999999999999957</v>
      </c>
      <c r="C98" s="3">
        <f t="shared" si="9"/>
        <v>279.34150923188241</v>
      </c>
      <c r="D98" s="3">
        <f t="shared" si="10"/>
        <v>8496.6375724697573</v>
      </c>
      <c r="E98" s="3">
        <f t="shared" si="11"/>
        <v>1449986.647439407</v>
      </c>
    </row>
    <row r="99" spans="1:5" x14ac:dyDescent="0.45">
      <c r="A99" s="10">
        <f t="shared" si="7"/>
        <v>5.8333333333333295</v>
      </c>
      <c r="B99" s="3">
        <f t="shared" si="8"/>
        <v>69.999999999999957</v>
      </c>
      <c r="C99" s="3">
        <f t="shared" si="9"/>
        <v>276.51721567251184</v>
      </c>
      <c r="D99" s="3">
        <f t="shared" si="10"/>
        <v>8410.7319767055687</v>
      </c>
      <c r="E99" s="3">
        <f t="shared" si="11"/>
        <v>1458397.3794161126</v>
      </c>
    </row>
    <row r="100" spans="1:5" x14ac:dyDescent="0.45">
      <c r="A100" s="10">
        <f t="shared" si="7"/>
        <v>5.9166666666666625</v>
      </c>
      <c r="B100" s="3">
        <f t="shared" si="8"/>
        <v>70.999999999999943</v>
      </c>
      <c r="C100" s="3">
        <f t="shared" si="9"/>
        <v>273.76093613722043</v>
      </c>
      <c r="D100" s="3">
        <f t="shared" si="10"/>
        <v>8326.8951408404555</v>
      </c>
      <c r="E100" s="3">
        <f t="shared" si="11"/>
        <v>1466724.274556953</v>
      </c>
    </row>
    <row r="101" spans="1:5" x14ac:dyDescent="0.45">
      <c r="A101" s="10">
        <f t="shared" si="7"/>
        <v>5.9999999999999956</v>
      </c>
      <c r="B101" s="3">
        <f t="shared" si="8"/>
        <v>71.999999999999943</v>
      </c>
      <c r="C101" s="3">
        <f t="shared" si="9"/>
        <v>271.0701089276551</v>
      </c>
      <c r="D101" s="3">
        <f t="shared" si="10"/>
        <v>8245.0491465495088</v>
      </c>
      <c r="E101" s="3">
        <f t="shared" si="11"/>
        <v>1474969.3237035025</v>
      </c>
    </row>
    <row r="102" spans="1:5" x14ac:dyDescent="0.45">
      <c r="A102" s="10">
        <f t="shared" si="7"/>
        <v>6.0833333333333286</v>
      </c>
      <c r="B102" s="3">
        <f t="shared" si="8"/>
        <v>72.999999999999943</v>
      </c>
      <c r="C102" s="3">
        <f t="shared" si="9"/>
        <v>268.44230266928741</v>
      </c>
      <c r="D102" s="3">
        <f t="shared" si="10"/>
        <v>8165.1200395241594</v>
      </c>
      <c r="E102" s="3">
        <f t="shared" si="11"/>
        <v>1483134.4437430266</v>
      </c>
    </row>
    <row r="103" spans="1:5" x14ac:dyDescent="0.45">
      <c r="A103" s="10">
        <f t="shared" si="7"/>
        <v>6.1666666666666616</v>
      </c>
      <c r="B103" s="3">
        <f t="shared" si="8"/>
        <v>73.999999999999943</v>
      </c>
      <c r="C103" s="3">
        <f t="shared" si="9"/>
        <v>265.87520800638481</v>
      </c>
      <c r="D103" s="3">
        <f t="shared" si="10"/>
        <v>8087.0375768608719</v>
      </c>
      <c r="E103" s="3">
        <f t="shared" si="11"/>
        <v>1491221.4813198876</v>
      </c>
    </row>
    <row r="104" spans="1:5" x14ac:dyDescent="0.45">
      <c r="A104" s="10">
        <f t="shared" si="7"/>
        <v>6.2499999999999947</v>
      </c>
      <c r="B104" s="3">
        <f t="shared" si="8"/>
        <v>74.999999999999943</v>
      </c>
      <c r="C104" s="3">
        <f t="shared" si="9"/>
        <v>263.36662993011549</v>
      </c>
      <c r="D104" s="3">
        <f t="shared" si="10"/>
        <v>8010.7349937076797</v>
      </c>
      <c r="E104" s="3">
        <f t="shared" si="11"/>
        <v>1499232.2163135952</v>
      </c>
    </row>
    <row r="105" spans="1:5" x14ac:dyDescent="0.45">
      <c r="A105" s="10">
        <f t="shared" si="7"/>
        <v>6.3333333333333277</v>
      </c>
      <c r="B105" s="3">
        <f t="shared" si="8"/>
        <v>75.999999999999929</v>
      </c>
      <c r="C105" s="3">
        <f t="shared" si="9"/>
        <v>260.91448068380782</v>
      </c>
      <c r="D105" s="3">
        <f t="shared" si="10"/>
        <v>7936.1487874658214</v>
      </c>
      <c r="E105" s="3">
        <f t="shared" si="11"/>
        <v>1507168.3651010611</v>
      </c>
    </row>
    <row r="106" spans="1:5" x14ac:dyDescent="0.45">
      <c r="A106" s="10">
        <f t="shared" ref="A106:A169" si="12">A105+(1/12)</f>
        <v>6.4166666666666607</v>
      </c>
      <c r="B106" s="3">
        <f t="shared" ref="B106:B169" si="13">A106*12</f>
        <v>76.999999999999929</v>
      </c>
      <c r="C106" s="3">
        <f t="shared" ref="C106:C169" si="14">$B$4*(B106^$B$5)</f>
        <v>258.51677319499987</v>
      </c>
      <c r="D106" s="3">
        <f t="shared" si="10"/>
        <v>7863.2185180145798</v>
      </c>
      <c r="E106" s="3">
        <f t="shared" si="11"/>
        <v>1515031.5836190756</v>
      </c>
    </row>
    <row r="107" spans="1:5" x14ac:dyDescent="0.45">
      <c r="A107" s="10">
        <f t="shared" si="12"/>
        <v>6.4999999999999938</v>
      </c>
      <c r="B107" s="3">
        <f t="shared" si="13"/>
        <v>77.999999999999929</v>
      </c>
      <c r="C107" s="3">
        <f t="shared" si="14"/>
        <v>256.17161498890295</v>
      </c>
      <c r="D107" s="3">
        <f t="shared" si="10"/>
        <v>7791.8866225791317</v>
      </c>
      <c r="E107" s="3">
        <f t="shared" si="11"/>
        <v>1522823.4702416547</v>
      </c>
    </row>
    <row r="108" spans="1:5" x14ac:dyDescent="0.45">
      <c r="A108" s="10">
        <f t="shared" si="12"/>
        <v>6.5833333333333268</v>
      </c>
      <c r="B108" s="3">
        <f t="shared" si="13"/>
        <v>78.999999999999915</v>
      </c>
      <c r="C108" s="3">
        <f t="shared" si="14"/>
        <v>253.87720254232948</v>
      </c>
      <c r="D108" s="3">
        <f t="shared" si="10"/>
        <v>7722.0982439958552</v>
      </c>
      <c r="E108" s="3">
        <f t="shared" si="11"/>
        <v>1530545.5684856505</v>
      </c>
    </row>
    <row r="109" spans="1:5" x14ac:dyDescent="0.45">
      <c r="A109" s="10">
        <f t="shared" si="12"/>
        <v>6.6666666666666599</v>
      </c>
      <c r="B109" s="3">
        <f t="shared" si="13"/>
        <v>79.999999999999915</v>
      </c>
      <c r="C109" s="3">
        <f t="shared" si="14"/>
        <v>251.63181604109829</v>
      </c>
      <c r="D109" s="3">
        <f t="shared" si="10"/>
        <v>7653.8010712500736</v>
      </c>
      <c r="E109" s="3">
        <f t="shared" si="11"/>
        <v>1538199.3695569006</v>
      </c>
    </row>
    <row r="110" spans="1:5" x14ac:dyDescent="0.45">
      <c r="A110" s="10">
        <f t="shared" si="12"/>
        <v>6.7499999999999929</v>
      </c>
      <c r="B110" s="3">
        <f t="shared" si="13"/>
        <v>80.999999999999915</v>
      </c>
      <c r="C110" s="3">
        <f t="shared" si="14"/>
        <v>249.4338145074467</v>
      </c>
      <c r="D110" s="3">
        <f t="shared" si="10"/>
        <v>7586.9451912681707</v>
      </c>
      <c r="E110" s="3">
        <f t="shared" si="11"/>
        <v>1545786.3147481687</v>
      </c>
    </row>
    <row r="111" spans="1:5" x14ac:dyDescent="0.45">
      <c r="A111" s="10">
        <f t="shared" si="12"/>
        <v>6.8333333333333259</v>
      </c>
      <c r="B111" s="3">
        <f t="shared" si="13"/>
        <v>81.999999999999915</v>
      </c>
      <c r="C111" s="3">
        <f t="shared" si="14"/>
        <v>247.28163126713588</v>
      </c>
      <c r="D111" s="3">
        <f t="shared" si="10"/>
        <v>7521.4829510420495</v>
      </c>
      <c r="E111" s="3">
        <f t="shared" si="11"/>
        <v>1553307.7976992107</v>
      </c>
    </row>
    <row r="112" spans="1:5" x14ac:dyDescent="0.45">
      <c r="A112" s="10">
        <f t="shared" si="12"/>
        <v>6.916666666666659</v>
      </c>
      <c r="B112" s="3">
        <f t="shared" si="13"/>
        <v>82.999999999999915</v>
      </c>
      <c r="C112" s="3">
        <f t="shared" si="14"/>
        <v>245.17376972875275</v>
      </c>
      <c r="D112" s="3">
        <f t="shared" si="10"/>
        <v>7457.3688292495626</v>
      </c>
      <c r="E112" s="3">
        <f t="shared" si="11"/>
        <v>1560765.1665284603</v>
      </c>
    </row>
    <row r="113" spans="1:5" x14ac:dyDescent="0.45">
      <c r="A113" s="10">
        <f t="shared" si="12"/>
        <v>6.999999999999992</v>
      </c>
      <c r="B113" s="3">
        <f t="shared" si="13"/>
        <v>83.999999999999901</v>
      </c>
      <c r="C113" s="3">
        <f t="shared" si="14"/>
        <v>243.10879945023825</v>
      </c>
      <c r="D113" s="3">
        <f t="shared" si="10"/>
        <v>7394.559316611414</v>
      </c>
      <c r="E113" s="3">
        <f t="shared" si="11"/>
        <v>1568159.7258450717</v>
      </c>
    </row>
    <row r="114" spans="1:5" x14ac:dyDescent="0.45">
      <c r="A114" s="10">
        <f t="shared" si="12"/>
        <v>7.083333333333325</v>
      </c>
      <c r="B114" s="3">
        <f t="shared" si="13"/>
        <v>84.999999999999901</v>
      </c>
      <c r="C114" s="3">
        <f t="shared" si="14"/>
        <v>241.08535246994407</v>
      </c>
      <c r="D114" s="3">
        <f t="shared" si="10"/>
        <v>7333.0128042941324</v>
      </c>
      <c r="E114" s="3">
        <f t="shared" si="11"/>
        <v>1575492.738649366</v>
      </c>
    </row>
    <row r="115" spans="1:5" x14ac:dyDescent="0.45">
      <c r="A115" s="10">
        <f t="shared" si="12"/>
        <v>7.1666666666666581</v>
      </c>
      <c r="B115" s="3">
        <f t="shared" si="13"/>
        <v>85.999999999999901</v>
      </c>
      <c r="C115" s="3">
        <f t="shared" si="14"/>
        <v>239.10211988155004</v>
      </c>
      <c r="D115" s="3">
        <f t="shared" si="10"/>
        <v>7272.6894797304803</v>
      </c>
      <c r="E115" s="3">
        <f t="shared" si="11"/>
        <v>1582765.4281290965</v>
      </c>
    </row>
    <row r="116" spans="1:5" x14ac:dyDescent="0.45">
      <c r="A116" s="10">
        <f t="shared" si="12"/>
        <v>7.2499999999999911</v>
      </c>
      <c r="B116" s="3">
        <f t="shared" si="13"/>
        <v>86.999999999999886</v>
      </c>
      <c r="C116" s="3">
        <f t="shared" si="14"/>
        <v>237.15784863401572</v>
      </c>
      <c r="D116" s="3">
        <f t="shared" si="10"/>
        <v>7213.5512292846452</v>
      </c>
      <c r="E116" s="3">
        <f t="shared" si="11"/>
        <v>1589978.9793583811</v>
      </c>
    </row>
    <row r="117" spans="1:5" x14ac:dyDescent="0.45">
      <c r="A117" s="10">
        <f t="shared" si="12"/>
        <v>7.3333333333333242</v>
      </c>
      <c r="B117" s="3">
        <f t="shared" si="13"/>
        <v>87.999999999999886</v>
      </c>
      <c r="C117" s="3">
        <f t="shared" si="14"/>
        <v>235.25133853938632</v>
      </c>
      <c r="D117" s="3">
        <f t="shared" si="10"/>
        <v>7155.5615472396676</v>
      </c>
      <c r="E117" s="3">
        <f t="shared" si="11"/>
        <v>1597134.5409056209</v>
      </c>
    </row>
    <row r="118" spans="1:5" x14ac:dyDescent="0.45">
      <c r="A118" s="10">
        <f t="shared" si="12"/>
        <v>7.4166666666666572</v>
      </c>
      <c r="B118" s="3">
        <f t="shared" si="13"/>
        <v>88.999999999999886</v>
      </c>
      <c r="C118" s="3">
        <f t="shared" si="14"/>
        <v>233.3814394727635</v>
      </c>
      <c r="D118" s="3">
        <f t="shared" si="10"/>
        <v>7098.6854506298905</v>
      </c>
      <c r="E118" s="3">
        <f t="shared" si="11"/>
        <v>1604233.2263562507</v>
      </c>
    </row>
    <row r="119" spans="1:5" x14ac:dyDescent="0.45">
      <c r="A119" s="10">
        <f t="shared" si="12"/>
        <v>7.4999999999999902</v>
      </c>
      <c r="B119" s="3">
        <f t="shared" si="13"/>
        <v>89.999999999999886</v>
      </c>
      <c r="C119" s="3">
        <f t="shared" si="14"/>
        <v>231.54704875010199</v>
      </c>
      <c r="D119" s="3">
        <f t="shared" si="10"/>
        <v>7042.8893994822693</v>
      </c>
      <c r="E119" s="3">
        <f t="shared" si="11"/>
        <v>1611276.1157557329</v>
      </c>
    </row>
    <row r="120" spans="1:5" x14ac:dyDescent="0.45">
      <c r="A120" s="10">
        <f t="shared" si="12"/>
        <v>7.5833333333333233</v>
      </c>
      <c r="B120" s="3">
        <f t="shared" si="13"/>
        <v>90.999999999999886</v>
      </c>
      <c r="C120" s="3">
        <f t="shared" si="14"/>
        <v>229.74710867070149</v>
      </c>
      <c r="D120" s="3">
        <f t="shared" si="10"/>
        <v>6988.1412220671709</v>
      </c>
      <c r="E120" s="3">
        <f t="shared" si="11"/>
        <v>1618264.2569778</v>
      </c>
    </row>
    <row r="121" spans="1:5" x14ac:dyDescent="0.45">
      <c r="A121" s="10">
        <f t="shared" si="12"/>
        <v>7.6666666666666563</v>
      </c>
      <c r="B121" s="3">
        <f t="shared" si="13"/>
        <v>91.999999999999872</v>
      </c>
      <c r="C121" s="3">
        <f t="shared" si="14"/>
        <v>227.98060421237065</v>
      </c>
      <c r="D121" s="3">
        <f t="shared" si="10"/>
        <v>6934.4100447929413</v>
      </c>
      <c r="E121" s="3">
        <f t="shared" si="11"/>
        <v>1625198.6670225931</v>
      </c>
    </row>
    <row r="122" spans="1:5" x14ac:dyDescent="0.45">
      <c r="A122" s="10">
        <f t="shared" si="12"/>
        <v>7.7499999999999893</v>
      </c>
      <c r="B122" s="3">
        <f t="shared" si="13"/>
        <v>92.999999999999872</v>
      </c>
      <c r="C122" s="3">
        <f t="shared" si="14"/>
        <v>226.2465608682383</v>
      </c>
      <c r="D122" s="3">
        <f t="shared" si="10"/>
        <v>6881.6662264089155</v>
      </c>
      <c r="E122" s="3">
        <f t="shared" si="11"/>
        <v>1632080.333249002</v>
      </c>
    </row>
    <row r="123" spans="1:5" x14ac:dyDescent="0.45">
      <c r="A123" s="10">
        <f t="shared" si="12"/>
        <v>7.8333333333333224</v>
      </c>
      <c r="B123" s="3">
        <f t="shared" si="13"/>
        <v>93.999999999999872</v>
      </c>
      <c r="C123" s="3">
        <f t="shared" si="14"/>
        <v>224.54404261508714</v>
      </c>
      <c r="D123" s="3">
        <f t="shared" si="10"/>
        <v>6829.8812962089005</v>
      </c>
      <c r="E123" s="3">
        <f t="shared" si="11"/>
        <v>1638910.2145452108</v>
      </c>
    </row>
    <row r="124" spans="1:5" x14ac:dyDescent="0.45">
      <c r="A124" s="10">
        <f t="shared" si="12"/>
        <v>7.9166666666666554</v>
      </c>
      <c r="B124" s="3">
        <f t="shared" si="13"/>
        <v>94.999999999999858</v>
      </c>
      <c r="C124" s="3">
        <f t="shared" si="14"/>
        <v>222.87215000391251</v>
      </c>
      <c r="D124" s="3">
        <f t="shared" si="10"/>
        <v>6779.0278959523393</v>
      </c>
      <c r="E124" s="3">
        <f t="shared" si="11"/>
        <v>1645689.2424411632</v>
      </c>
    </row>
    <row r="125" spans="1:5" x14ac:dyDescent="0.45">
      <c r="A125" s="10">
        <f t="shared" si="12"/>
        <v>7.9999999999999885</v>
      </c>
      <c r="B125" s="3">
        <f t="shared" si="13"/>
        <v>95.999999999999858</v>
      </c>
      <c r="C125" s="3">
        <f t="shared" si="14"/>
        <v>221.23001836415435</v>
      </c>
      <c r="D125" s="3">
        <f t="shared" si="10"/>
        <v>6729.0797252430284</v>
      </c>
      <c r="E125" s="3">
        <f t="shared" si="11"/>
        <v>1652418.3221664061</v>
      </c>
    </row>
    <row r="126" spans="1:5" x14ac:dyDescent="0.45">
      <c r="A126" s="10">
        <f t="shared" si="12"/>
        <v>8.0833333333333215</v>
      </c>
      <c r="B126" s="3">
        <f t="shared" si="13"/>
        <v>96.999999999999858</v>
      </c>
      <c r="C126" s="3">
        <f t="shared" si="14"/>
        <v>219.61681611373223</v>
      </c>
      <c r="D126" s="3">
        <f t="shared" si="10"/>
        <v>6680.0114901260222</v>
      </c>
      <c r="E126" s="3">
        <f t="shared" si="11"/>
        <v>1659098.333656532</v>
      </c>
    </row>
    <row r="127" spans="1:5" x14ac:dyDescent="0.45">
      <c r="A127" s="10">
        <f t="shared" si="12"/>
        <v>8.1666666666666554</v>
      </c>
      <c r="B127" s="3">
        <f t="shared" si="13"/>
        <v>97.999999999999858</v>
      </c>
      <c r="C127" s="3">
        <f t="shared" si="14"/>
        <v>218.03174316763062</v>
      </c>
      <c r="D127" s="3">
        <f t="shared" si="10"/>
        <v>6631.798854682098</v>
      </c>
      <c r="E127" s="3">
        <f t="shared" si="11"/>
        <v>1665730.1325112141</v>
      </c>
    </row>
    <row r="128" spans="1:5" x14ac:dyDescent="0.45">
      <c r="A128" s="10">
        <f t="shared" si="12"/>
        <v>8.2499999999999893</v>
      </c>
      <c r="B128" s="3">
        <f t="shared" si="13"/>
        <v>98.999999999999872</v>
      </c>
      <c r="C128" s="3">
        <f t="shared" si="14"/>
        <v>216.47402943834939</v>
      </c>
      <c r="D128" s="3">
        <f t="shared" si="10"/>
        <v>6584.418395416461</v>
      </c>
      <c r="E128" s="3">
        <f t="shared" si="11"/>
        <v>1672314.5509066305</v>
      </c>
    </row>
    <row r="129" spans="1:5" x14ac:dyDescent="0.45">
      <c r="A129" s="10">
        <f t="shared" si="12"/>
        <v>8.3333333333333233</v>
      </c>
      <c r="B129" s="3">
        <f t="shared" si="13"/>
        <v>99.999999999999886</v>
      </c>
      <c r="C129" s="3">
        <f t="shared" si="14"/>
        <v>214.94293342205032</v>
      </c>
      <c r="D129" s="3">
        <f t="shared" si="10"/>
        <v>6537.8475582540304</v>
      </c>
      <c r="E129" s="3">
        <f t="shared" si="11"/>
        <v>1678852.3984648846</v>
      </c>
    </row>
    <row r="130" spans="1:5" x14ac:dyDescent="0.45">
      <c r="A130" s="10">
        <f t="shared" si="12"/>
        <v>8.4166666666666572</v>
      </c>
      <c r="B130" s="3">
        <f t="shared" si="13"/>
        <v>100.99999999999989</v>
      </c>
      <c r="C130" s="3">
        <f t="shared" si="14"/>
        <v>213.43774086469944</v>
      </c>
      <c r="D130" s="3">
        <f t="shared" si="10"/>
        <v>6492.0646179679416</v>
      </c>
      <c r="E130" s="3">
        <f t="shared" si="11"/>
        <v>1685344.4630828525</v>
      </c>
    </row>
    <row r="131" spans="1:5" x14ac:dyDescent="0.45">
      <c r="A131" s="10">
        <f t="shared" si="12"/>
        <v>8.4999999999999911</v>
      </c>
      <c r="B131" s="3">
        <f t="shared" si="13"/>
        <v>101.99999999999989</v>
      </c>
      <c r="C131" s="3">
        <f t="shared" si="14"/>
        <v>211.95776350293963</v>
      </c>
      <c r="D131" s="3">
        <f t="shared" si="10"/>
        <v>6447.0486398810808</v>
      </c>
      <c r="E131" s="3">
        <f t="shared" si="11"/>
        <v>1691791.5117227337</v>
      </c>
    </row>
    <row r="132" spans="1:5" x14ac:dyDescent="0.45">
      <c r="A132" s="10">
        <f t="shared" si="12"/>
        <v>8.583333333333325</v>
      </c>
      <c r="B132" s="3">
        <f t="shared" si="13"/>
        <v>102.9999999999999</v>
      </c>
      <c r="C132" s="3">
        <f t="shared" si="14"/>
        <v>210.50233787482057</v>
      </c>
      <c r="D132" s="3">
        <f t="shared" si="10"/>
        <v>6402.7794436924596</v>
      </c>
      <c r="E132" s="3">
        <f t="shared" si="11"/>
        <v>1698194.2911664261</v>
      </c>
    </row>
    <row r="133" spans="1:5" x14ac:dyDescent="0.45">
      <c r="A133" s="10">
        <f t="shared" si="12"/>
        <v>8.666666666666659</v>
      </c>
      <c r="B133" s="3">
        <f t="shared" si="13"/>
        <v>103.99999999999991</v>
      </c>
      <c r="C133" s="3">
        <f t="shared" si="14"/>
        <v>209.07082419587343</v>
      </c>
      <c r="D133" s="3">
        <f t="shared" si="10"/>
        <v>6359.2375692911501</v>
      </c>
      <c r="E133" s="3">
        <f t="shared" si="11"/>
        <v>1704553.5287357173</v>
      </c>
    </row>
    <row r="134" spans="1:5" x14ac:dyDescent="0.45">
      <c r="A134" s="10">
        <f t="shared" si="12"/>
        <v>8.7499999999999929</v>
      </c>
      <c r="B134" s="3">
        <f t="shared" si="13"/>
        <v>104.99999999999991</v>
      </c>
      <c r="C134" s="3">
        <f t="shared" si="14"/>
        <v>207.66260529635315</v>
      </c>
      <c r="D134" s="3">
        <f t="shared" si="10"/>
        <v>6316.4042444307415</v>
      </c>
      <c r="E134" s="3">
        <f t="shared" si="11"/>
        <v>1710869.9329801481</v>
      </c>
    </row>
    <row r="135" spans="1:5" x14ac:dyDescent="0.45">
      <c r="A135" s="10">
        <f t="shared" si="12"/>
        <v>8.8333333333333268</v>
      </c>
      <c r="B135" s="3">
        <f t="shared" si="13"/>
        <v>105.99999999999991</v>
      </c>
      <c r="C135" s="3">
        <f t="shared" si="14"/>
        <v>206.27708561577086</v>
      </c>
      <c r="D135" s="3">
        <f t="shared" si="10"/>
        <v>6274.2613541463643</v>
      </c>
      <c r="E135" s="3">
        <f t="shared" si="11"/>
        <v>1717144.1943342944</v>
      </c>
    </row>
    <row r="136" spans="1:5" x14ac:dyDescent="0.45">
      <c r="A136" s="10">
        <f t="shared" si="12"/>
        <v>8.9166666666666607</v>
      </c>
      <c r="B136" s="3">
        <f t="shared" si="13"/>
        <v>106.99999999999993</v>
      </c>
      <c r="C136" s="3">
        <f t="shared" si="14"/>
        <v>204.91369025112272</v>
      </c>
      <c r="D136" s="3">
        <f t="shared" si="10"/>
        <v>6232.791411804983</v>
      </c>
      <c r="E136" s="3">
        <f t="shared" si="11"/>
        <v>1723376.9857460994</v>
      </c>
    </row>
    <row r="137" spans="1:5" x14ac:dyDescent="0.45">
      <c r="A137" s="10">
        <f t="shared" si="12"/>
        <v>8.9999999999999947</v>
      </c>
      <c r="B137" s="3">
        <f t="shared" si="13"/>
        <v>107.99999999999994</v>
      </c>
      <c r="C137" s="3">
        <f t="shared" si="14"/>
        <v>203.57186405547512</v>
      </c>
      <c r="D137" s="3">
        <f t="shared" si="10"/>
        <v>6191.9775316873684</v>
      </c>
      <c r="E137" s="3">
        <f t="shared" si="11"/>
        <v>1729568.9632777867</v>
      </c>
    </row>
    <row r="138" spans="1:5" x14ac:dyDescent="0.45">
      <c r="A138" s="10">
        <f t="shared" si="12"/>
        <v>9.0833333333333286</v>
      </c>
      <c r="B138" s="3">
        <f t="shared" si="13"/>
        <v>108.99999999999994</v>
      </c>
      <c r="C138" s="3">
        <f t="shared" si="14"/>
        <v>202.2510707838035</v>
      </c>
      <c r="D138" s="3">
        <f t="shared" si="10"/>
        <v>6151.8034030073568</v>
      </c>
      <c r="E138" s="3">
        <f t="shared" si="11"/>
        <v>1735720.7666807941</v>
      </c>
    </row>
    <row r="139" spans="1:5" x14ac:dyDescent="0.45">
      <c r="A139" s="10">
        <f t="shared" si="12"/>
        <v>9.1666666666666625</v>
      </c>
      <c r="B139" s="3">
        <f t="shared" si="13"/>
        <v>109.99999999999994</v>
      </c>
      <c r="C139" s="3">
        <f t="shared" si="14"/>
        <v>200.95079228320145</v>
      </c>
      <c r="D139" s="3">
        <f t="shared" si="10"/>
        <v>6112.2532652807113</v>
      </c>
      <c r="E139" s="3">
        <f t="shared" si="11"/>
        <v>1741833.0199460748</v>
      </c>
    </row>
    <row r="140" spans="1:5" x14ac:dyDescent="0.45">
      <c r="A140" s="10">
        <f t="shared" si="12"/>
        <v>9.2499999999999964</v>
      </c>
      <c r="B140" s="3">
        <f t="shared" si="13"/>
        <v>110.99999999999996</v>
      </c>
      <c r="C140" s="3">
        <f t="shared" si="14"/>
        <v>199.67052772477433</v>
      </c>
      <c r="D140" s="3">
        <f t="shared" si="10"/>
        <v>6073.3118849618859</v>
      </c>
      <c r="E140" s="3">
        <f t="shared" si="11"/>
        <v>1747906.3318310366</v>
      </c>
    </row>
    <row r="141" spans="1:5" x14ac:dyDescent="0.45">
      <c r="A141" s="10">
        <f t="shared" si="12"/>
        <v>9.3333333333333304</v>
      </c>
      <c r="B141" s="3">
        <f t="shared" si="13"/>
        <v>111.99999999999997</v>
      </c>
      <c r="C141" s="3">
        <f t="shared" si="14"/>
        <v>198.40979287471927</v>
      </c>
      <c r="D141" s="3">
        <f t="shared" si="10"/>
        <v>6034.9645332727114</v>
      </c>
      <c r="E141" s="3">
        <f t="shared" si="11"/>
        <v>1753941.2963643093</v>
      </c>
    </row>
    <row r="142" spans="1:5" x14ac:dyDescent="0.45">
      <c r="A142" s="10">
        <f t="shared" si="12"/>
        <v>9.4166666666666643</v>
      </c>
      <c r="B142" s="3">
        <f t="shared" si="13"/>
        <v>112.99999999999997</v>
      </c>
      <c r="C142" s="3">
        <f t="shared" si="14"/>
        <v>197.16811940226239</v>
      </c>
      <c r="D142" s="3">
        <f t="shared" si="10"/>
        <v>5997.1969651521476</v>
      </c>
      <c r="E142" s="3">
        <f t="shared" si="11"/>
        <v>1759938.4933294614</v>
      </c>
    </row>
    <row r="143" spans="1:5" x14ac:dyDescent="0.45">
      <c r="A143" s="10">
        <f t="shared" si="12"/>
        <v>9.4999999999999982</v>
      </c>
      <c r="B143" s="3">
        <f t="shared" si="13"/>
        <v>113.99999999999997</v>
      </c>
      <c r="C143" s="3">
        <f t="shared" si="14"/>
        <v>195.94505422228104</v>
      </c>
      <c r="D143" s="3">
        <f t="shared" si="10"/>
        <v>5959.995399261049</v>
      </c>
      <c r="E143" s="3">
        <f t="shared" si="11"/>
        <v>1765898.4887287226</v>
      </c>
    </row>
    <row r="144" spans="1:5" x14ac:dyDescent="0.45">
      <c r="A144" s="10">
        <f t="shared" si="12"/>
        <v>9.5833333333333321</v>
      </c>
      <c r="B144" s="3">
        <f t="shared" si="13"/>
        <v>114.99999999999999</v>
      </c>
      <c r="C144" s="3">
        <f t="shared" si="14"/>
        <v>194.74015887058908</v>
      </c>
      <c r="D144" s="3">
        <f t="shared" si="10"/>
        <v>5923.3464989804179</v>
      </c>
      <c r="E144" s="3">
        <f t="shared" si="11"/>
        <v>1771821.835227703</v>
      </c>
    </row>
    <row r="145" spans="1:5" x14ac:dyDescent="0.45">
      <c r="A145" s="10">
        <f t="shared" si="12"/>
        <v>9.6666666666666661</v>
      </c>
      <c r="B145" s="3">
        <f t="shared" si="13"/>
        <v>116</v>
      </c>
      <c r="C145" s="3">
        <f t="shared" si="14"/>
        <v>193.55300890999069</v>
      </c>
      <c r="D145" s="3">
        <f t="shared" si="10"/>
        <v>5887.2373543455506</v>
      </c>
      <c r="E145" s="3">
        <f t="shared" si="11"/>
        <v>1777709.0725820486</v>
      </c>
    </row>
    <row r="146" spans="1:5" x14ac:dyDescent="0.45">
      <c r="A146" s="10">
        <f t="shared" si="12"/>
        <v>9.75</v>
      </c>
      <c r="B146" s="3">
        <f t="shared" si="13"/>
        <v>117</v>
      </c>
      <c r="C146" s="3">
        <f t="shared" si="14"/>
        <v>192.38319336533851</v>
      </c>
      <c r="D146" s="3">
        <f t="shared" si="10"/>
        <v>5851.6554648623796</v>
      </c>
      <c r="E146" s="3">
        <f t="shared" si="11"/>
        <v>1783560.7280469111</v>
      </c>
    </row>
    <row r="147" spans="1:5" x14ac:dyDescent="0.45">
      <c r="A147" s="10">
        <f t="shared" si="12"/>
        <v>9.8333333333333339</v>
      </c>
      <c r="B147" s="3">
        <f t="shared" si="13"/>
        <v>118</v>
      </c>
      <c r="C147" s="3">
        <f t="shared" si="14"/>
        <v>191.23031418594687</v>
      </c>
      <c r="D147" s="3">
        <f t="shared" si="10"/>
        <v>5816.5887231558845</v>
      </c>
      <c r="E147" s="3">
        <f t="shared" si="11"/>
        <v>1789377.316770067</v>
      </c>
    </row>
    <row r="148" spans="1:5" x14ac:dyDescent="0.45">
      <c r="A148" s="10">
        <f t="shared" si="12"/>
        <v>9.9166666666666679</v>
      </c>
      <c r="B148" s="3">
        <f t="shared" si="13"/>
        <v>119.00000000000001</v>
      </c>
      <c r="C148" s="3">
        <f t="shared" si="14"/>
        <v>190.09398573381407</v>
      </c>
      <c r="D148" s="3">
        <f t="shared" ref="D148:D211" si="15">C148*(365/12)</f>
        <v>5782.0253994035111</v>
      </c>
      <c r="E148" s="3">
        <f t="shared" ref="E148:E211" si="16">E147+D148</f>
        <v>1795159.3421694704</v>
      </c>
    </row>
    <row r="149" spans="1:5" ht="16.3" thickBot="1" x14ac:dyDescent="0.5">
      <c r="A149" s="16">
        <f t="shared" si="12"/>
        <v>10.000000000000002</v>
      </c>
      <c r="B149" s="4">
        <f t="shared" si="13"/>
        <v>120.00000000000003</v>
      </c>
      <c r="C149" s="4">
        <f t="shared" si="14"/>
        <v>188.97383429621172</v>
      </c>
      <c r="D149" s="4">
        <f t="shared" si="15"/>
        <v>5747.9541265097732</v>
      </c>
      <c r="E149" s="4">
        <f t="shared" si="16"/>
        <v>1800907.2962959802</v>
      </c>
    </row>
    <row r="150" spans="1:5" x14ac:dyDescent="0.45">
      <c r="A150" s="10">
        <f t="shared" si="12"/>
        <v>10.083333333333336</v>
      </c>
      <c r="B150" s="3">
        <f t="shared" si="13"/>
        <v>121.00000000000003</v>
      </c>
      <c r="C150" s="3">
        <f t="shared" si="14"/>
        <v>187.86949762128711</v>
      </c>
      <c r="D150" s="3">
        <f t="shared" si="15"/>
        <v>5714.3638859808161</v>
      </c>
      <c r="E150" s="3">
        <f t="shared" si="16"/>
        <v>1806621.660181961</v>
      </c>
    </row>
    <row r="151" spans="1:5" x14ac:dyDescent="0.45">
      <c r="A151" s="10">
        <f t="shared" si="12"/>
        <v>10.16666666666667</v>
      </c>
      <c r="B151" s="3">
        <f t="shared" si="13"/>
        <v>122.00000000000003</v>
      </c>
      <c r="C151" s="3">
        <f t="shared" si="14"/>
        <v>186.78062447541461</v>
      </c>
      <c r="D151" s="3">
        <f t="shared" si="15"/>
        <v>5681.2439944605276</v>
      </c>
      <c r="E151" s="3">
        <f t="shared" si="16"/>
        <v>1812302.9041764215</v>
      </c>
    </row>
    <row r="152" spans="1:5" x14ac:dyDescent="0.45">
      <c r="A152" s="10">
        <f t="shared" si="12"/>
        <v>10.250000000000004</v>
      </c>
      <c r="B152" s="3">
        <f t="shared" si="13"/>
        <v>123.00000000000004</v>
      </c>
      <c r="C152" s="3">
        <f t="shared" si="14"/>
        <v>185.70687422110572</v>
      </c>
      <c r="D152" s="3">
        <f t="shared" si="15"/>
        <v>5648.5840908919663</v>
      </c>
      <c r="E152" s="3">
        <f t="shared" si="16"/>
        <v>1817951.4882673135</v>
      </c>
    </row>
    <row r="153" spans="1:5" x14ac:dyDescent="0.45">
      <c r="A153" s="10">
        <f t="shared" si="12"/>
        <v>10.333333333333337</v>
      </c>
      <c r="B153" s="3">
        <f t="shared" si="13"/>
        <v>124.00000000000006</v>
      </c>
      <c r="C153" s="3">
        <f t="shared" si="14"/>
        <v>184.6479164143671</v>
      </c>
      <c r="D153" s="3">
        <f t="shared" si="15"/>
        <v>5616.3741242703327</v>
      </c>
      <c r="E153" s="3">
        <f t="shared" si="16"/>
        <v>1823567.8623915839</v>
      </c>
    </row>
    <row r="154" spans="1:5" x14ac:dyDescent="0.45">
      <c r="A154" s="10">
        <f t="shared" si="12"/>
        <v>10.416666666666671</v>
      </c>
      <c r="B154" s="3">
        <f t="shared" si="13"/>
        <v>125.00000000000006</v>
      </c>
      <c r="C154" s="3">
        <f t="shared" si="14"/>
        <v>183.60343042046051</v>
      </c>
      <c r="D154" s="3">
        <f t="shared" si="15"/>
        <v>5584.6043419556745</v>
      </c>
      <c r="E154" s="3">
        <f t="shared" si="16"/>
        <v>1829152.4667335395</v>
      </c>
    </row>
    <row r="155" spans="1:5" x14ac:dyDescent="0.45">
      <c r="A155" s="10">
        <f t="shared" si="12"/>
        <v>10.500000000000005</v>
      </c>
      <c r="B155" s="3">
        <f t="shared" si="13"/>
        <v>126.00000000000006</v>
      </c>
      <c r="C155" s="3">
        <f t="shared" si="14"/>
        <v>182.57310504708522</v>
      </c>
      <c r="D155" s="3">
        <f t="shared" si="15"/>
        <v>5553.2652785155087</v>
      </c>
      <c r="E155" s="3">
        <f t="shared" si="16"/>
        <v>1834705.7320120549</v>
      </c>
    </row>
    <row r="156" spans="1:5" x14ac:dyDescent="0.45">
      <c r="A156" s="10">
        <f t="shared" si="12"/>
        <v>10.583333333333339</v>
      </c>
      <c r="B156" s="3">
        <f t="shared" si="13"/>
        <v>127.00000000000007</v>
      </c>
      <c r="C156" s="3">
        <f t="shared" si="14"/>
        <v>181.55663819406055</v>
      </c>
      <c r="D156" s="3">
        <f t="shared" si="15"/>
        <v>5522.3477450693417</v>
      </c>
      <c r="E156" s="3">
        <f t="shared" si="16"/>
        <v>1840228.0797571242</v>
      </c>
    </row>
    <row r="157" spans="1:5" x14ac:dyDescent="0.45">
      <c r="A157" s="10">
        <f t="shared" si="12"/>
        <v>10.666666666666673</v>
      </c>
      <c r="B157" s="3">
        <f t="shared" si="13"/>
        <v>128.00000000000009</v>
      </c>
      <c r="C157" s="3">
        <f t="shared" si="14"/>
        <v>180.55373651864394</v>
      </c>
      <c r="D157" s="3">
        <f t="shared" si="15"/>
        <v>5491.8428191087532</v>
      </c>
      <c r="E157" s="3">
        <f t="shared" si="16"/>
        <v>1845719.922576233</v>
      </c>
    </row>
    <row r="158" spans="1:5" x14ac:dyDescent="0.45">
      <c r="A158" s="10">
        <f t="shared" si="12"/>
        <v>10.750000000000007</v>
      </c>
      <c r="B158" s="3">
        <f t="shared" si="13"/>
        <v>129.00000000000009</v>
      </c>
      <c r="C158" s="3">
        <f t="shared" si="14"/>
        <v>179.56411511567032</v>
      </c>
      <c r="D158" s="3">
        <f t="shared" si="15"/>
        <v>5461.741834768306</v>
      </c>
      <c r="E158" s="3">
        <f t="shared" si="16"/>
        <v>1851181.6644110014</v>
      </c>
    </row>
    <row r="159" spans="1:5" x14ac:dyDescent="0.45">
      <c r="A159" s="10">
        <f t="shared" si="12"/>
        <v>10.833333333333341</v>
      </c>
      <c r="B159" s="3">
        <f t="shared" si="13"/>
        <v>130.00000000000009</v>
      </c>
      <c r="C159" s="3">
        <f t="shared" si="14"/>
        <v>178.58749721174817</v>
      </c>
      <c r="D159" s="3">
        <f t="shared" si="15"/>
        <v>5432.0363735240071</v>
      </c>
      <c r="E159" s="3">
        <f t="shared" si="16"/>
        <v>1856613.7007845254</v>
      </c>
    </row>
    <row r="160" spans="1:5" x14ac:dyDescent="0.45">
      <c r="A160" s="10">
        <f t="shared" si="12"/>
        <v>10.916666666666675</v>
      </c>
      <c r="B160" s="3">
        <f t="shared" si="13"/>
        <v>131.00000000000011</v>
      </c>
      <c r="C160" s="3">
        <f t="shared" si="14"/>
        <v>177.62361387279017</v>
      </c>
      <c r="D160" s="3">
        <f t="shared" si="15"/>
        <v>5402.7182552973682</v>
      </c>
      <c r="E160" s="3">
        <f t="shared" si="16"/>
        <v>1862016.4190398226</v>
      </c>
    </row>
    <row r="161" spans="1:5" x14ac:dyDescent="0.45">
      <c r="A161" s="10">
        <f t="shared" si="12"/>
        <v>11.000000000000009</v>
      </c>
      <c r="B161" s="3">
        <f t="shared" si="13"/>
        <v>132.00000000000011</v>
      </c>
      <c r="C161" s="3">
        <f t="shared" si="14"/>
        <v>176.67220372420249</v>
      </c>
      <c r="D161" s="3">
        <f t="shared" si="15"/>
        <v>5373.7795299444924</v>
      </c>
      <c r="E161" s="3">
        <f t="shared" si="16"/>
        <v>1867390.1985697672</v>
      </c>
    </row>
    <row r="162" spans="1:5" x14ac:dyDescent="0.45">
      <c r="A162" s="10">
        <f t="shared" si="12"/>
        <v>11.083333333333343</v>
      </c>
      <c r="B162" s="3">
        <f t="shared" si="13"/>
        <v>133.00000000000011</v>
      </c>
      <c r="C162" s="3">
        <f t="shared" si="14"/>
        <v>175.73301268309115</v>
      </c>
      <c r="D162" s="3">
        <f t="shared" si="15"/>
        <v>5345.2124691106892</v>
      </c>
      <c r="E162" s="3">
        <f t="shared" si="16"/>
        <v>1872735.4110388779</v>
      </c>
    </row>
    <row r="163" spans="1:5" x14ac:dyDescent="0.45">
      <c r="A163" s="10">
        <f t="shared" si="12"/>
        <v>11.166666666666677</v>
      </c>
      <c r="B163" s="3">
        <f t="shared" si="13"/>
        <v>134.00000000000011</v>
      </c>
      <c r="C163" s="3">
        <f t="shared" si="14"/>
        <v>174.80579370188622</v>
      </c>
      <c r="D163" s="3">
        <f t="shared" si="15"/>
        <v>5317.0095584323726</v>
      </c>
      <c r="E163" s="3">
        <f t="shared" si="16"/>
        <v>1878052.4205973102</v>
      </c>
    </row>
    <row r="164" spans="1:5" x14ac:dyDescent="0.45">
      <c r="A164" s="10">
        <f t="shared" si="12"/>
        <v>11.250000000000011</v>
      </c>
      <c r="B164" s="3">
        <f t="shared" si="13"/>
        <v>135.00000000000011</v>
      </c>
      <c r="C164" s="3">
        <f t="shared" si="14"/>
        <v>173.89030652281272</v>
      </c>
      <c r="D164" s="3">
        <f t="shared" si="15"/>
        <v>5289.1634900688869</v>
      </c>
      <c r="E164" s="3">
        <f t="shared" si="16"/>
        <v>1883341.584087379</v>
      </c>
    </row>
    <row r="165" spans="1:5" x14ac:dyDescent="0.45">
      <c r="A165" s="10">
        <f t="shared" si="12"/>
        <v>11.333333333333345</v>
      </c>
      <c r="B165" s="3">
        <f t="shared" si="13"/>
        <v>136.00000000000014</v>
      </c>
      <c r="C165" s="3">
        <f t="shared" si="14"/>
        <v>172.98631744267672</v>
      </c>
      <c r="D165" s="3">
        <f t="shared" si="15"/>
        <v>5261.6671555480834</v>
      </c>
      <c r="E165" s="3">
        <f t="shared" si="16"/>
        <v>1888603.251242927</v>
      </c>
    </row>
    <row r="166" spans="1:5" x14ac:dyDescent="0.45">
      <c r="A166" s="10">
        <f t="shared" si="12"/>
        <v>11.416666666666679</v>
      </c>
      <c r="B166" s="3">
        <f t="shared" si="13"/>
        <v>137.00000000000014</v>
      </c>
      <c r="C166" s="3">
        <f t="shared" si="14"/>
        <v>172.09359908745697</v>
      </c>
      <c r="D166" s="3">
        <f t="shared" si="15"/>
        <v>5234.5136389101499</v>
      </c>
      <c r="E166" s="3">
        <f t="shared" si="16"/>
        <v>1893837.7648818372</v>
      </c>
    </row>
    <row r="167" spans="1:5" x14ac:dyDescent="0.45">
      <c r="A167" s="10">
        <f t="shared" si="12"/>
        <v>11.500000000000012</v>
      </c>
      <c r="B167" s="3">
        <f t="shared" si="13"/>
        <v>138.00000000000014</v>
      </c>
      <c r="C167" s="3">
        <f t="shared" si="14"/>
        <v>171.21193019622837</v>
      </c>
      <c r="D167" s="3">
        <f t="shared" si="15"/>
        <v>5207.6962101352792</v>
      </c>
      <c r="E167" s="3">
        <f t="shared" si="16"/>
        <v>1899045.4610919724</v>
      </c>
    </row>
    <row r="168" spans="1:5" x14ac:dyDescent="0.45">
      <c r="A168" s="10">
        <f t="shared" si="12"/>
        <v>11.583333333333346</v>
      </c>
      <c r="B168" s="3">
        <f t="shared" si="13"/>
        <v>139.00000000000017</v>
      </c>
      <c r="C168" s="3">
        <f t="shared" si="14"/>
        <v>170.34109541396532</v>
      </c>
      <c r="D168" s="3">
        <f t="shared" si="15"/>
        <v>5181.2083188414454</v>
      </c>
      <c r="E168" s="3">
        <f t="shared" si="16"/>
        <v>1904226.6694108138</v>
      </c>
    </row>
    <row r="169" spans="1:5" x14ac:dyDescent="0.45">
      <c r="A169" s="10">
        <f t="shared" si="12"/>
        <v>11.66666666666668</v>
      </c>
      <c r="B169" s="3">
        <f t="shared" si="13"/>
        <v>140.00000000000017</v>
      </c>
      <c r="C169" s="3">
        <f t="shared" si="14"/>
        <v>169.4808850927983</v>
      </c>
      <c r="D169" s="3">
        <f t="shared" si="15"/>
        <v>5155.0435882392821</v>
      </c>
      <c r="E169" s="3">
        <f t="shared" si="16"/>
        <v>1909381.7129990531</v>
      </c>
    </row>
    <row r="170" spans="1:5" x14ac:dyDescent="0.45">
      <c r="A170" s="10">
        <f t="shared" ref="A170:A233" si="17">A169+(1/12)</f>
        <v>11.750000000000014</v>
      </c>
      <c r="B170" s="3">
        <f t="shared" ref="B170:B233" si="18">A170*12</f>
        <v>141.00000000000017</v>
      </c>
      <c r="C170" s="3">
        <f t="shared" ref="C170:C233" si="19">$B$4*(B170^$B$5)</f>
        <v>168.63109510132253</v>
      </c>
      <c r="D170" s="3">
        <f t="shared" si="15"/>
        <v>5129.1958093318935</v>
      </c>
      <c r="E170" s="3">
        <f t="shared" si="16"/>
        <v>1914510.908808385</v>
      </c>
    </row>
    <row r="171" spans="1:5" x14ac:dyDescent="0.45">
      <c r="A171" s="10">
        <f t="shared" si="17"/>
        <v>11.833333333333348</v>
      </c>
      <c r="B171" s="3">
        <f t="shared" si="18"/>
        <v>142.00000000000017</v>
      </c>
      <c r="C171" s="3">
        <f t="shared" si="19"/>
        <v>167.79152664157766</v>
      </c>
      <c r="D171" s="3">
        <f t="shared" si="15"/>
        <v>5103.6589353479876</v>
      </c>
      <c r="E171" s="3">
        <f t="shared" si="16"/>
        <v>1919614.5677437331</v>
      </c>
    </row>
    <row r="172" spans="1:5" x14ac:dyDescent="0.45">
      <c r="A172" s="10">
        <f t="shared" si="17"/>
        <v>11.916666666666682</v>
      </c>
      <c r="B172" s="3">
        <f t="shared" si="18"/>
        <v>143.00000000000017</v>
      </c>
      <c r="C172" s="3">
        <f t="shared" si="19"/>
        <v>166.96198607333812</v>
      </c>
      <c r="D172" s="3">
        <f t="shared" si="15"/>
        <v>5078.4270763973682</v>
      </c>
      <c r="E172" s="3">
        <f t="shared" si="16"/>
        <v>1924692.9948201305</v>
      </c>
    </row>
    <row r="173" spans="1:5" x14ac:dyDescent="0.45">
      <c r="A173" s="10">
        <f t="shared" si="17"/>
        <v>12.000000000000016</v>
      </c>
      <c r="B173" s="3">
        <f t="shared" si="18"/>
        <v>144.0000000000002</v>
      </c>
      <c r="C173" s="3">
        <f t="shared" si="19"/>
        <v>166.14228474537325</v>
      </c>
      <c r="D173" s="3">
        <f t="shared" si="15"/>
        <v>5053.4944943384362</v>
      </c>
      <c r="E173" s="3">
        <f t="shared" si="16"/>
        <v>1929746.489314469</v>
      </c>
    </row>
    <row r="174" spans="1:5" x14ac:dyDescent="0.45">
      <c r="A174" s="10">
        <f t="shared" si="17"/>
        <v>12.08333333333335</v>
      </c>
      <c r="B174" s="3">
        <f t="shared" si="18"/>
        <v>145.0000000000002</v>
      </c>
      <c r="C174" s="3">
        <f t="shared" si="19"/>
        <v>165.33223883335452</v>
      </c>
      <c r="D174" s="3">
        <f t="shared" si="15"/>
        <v>5028.8555978478671</v>
      </c>
      <c r="E174" s="3">
        <f t="shared" si="16"/>
        <v>1934775.3449123169</v>
      </c>
    </row>
    <row r="175" spans="1:5" x14ac:dyDescent="0.45">
      <c r="A175" s="10">
        <f t="shared" si="17"/>
        <v>12.166666666666684</v>
      </c>
      <c r="B175" s="3">
        <f t="shared" si="18"/>
        <v>146.0000000000002</v>
      </c>
      <c r="C175" s="3">
        <f t="shared" si="19"/>
        <v>164.53166918410548</v>
      </c>
      <c r="D175" s="3">
        <f t="shared" si="15"/>
        <v>5004.5049376832085</v>
      </c>
      <c r="E175" s="3">
        <f t="shared" si="16"/>
        <v>1939779.8498500001</v>
      </c>
    </row>
    <row r="176" spans="1:5" x14ac:dyDescent="0.45">
      <c r="A176" s="10">
        <f t="shared" si="17"/>
        <v>12.250000000000018</v>
      </c>
      <c r="B176" s="3">
        <f t="shared" si="18"/>
        <v>147.00000000000023</v>
      </c>
      <c r="C176" s="3">
        <f t="shared" si="19"/>
        <v>163.74040116590234</v>
      </c>
      <c r="D176" s="3">
        <f t="shared" si="15"/>
        <v>4980.4372021295294</v>
      </c>
      <c r="E176" s="3">
        <f t="shared" si="16"/>
        <v>1944760.2870521296</v>
      </c>
    </row>
    <row r="177" spans="1:5" x14ac:dyDescent="0.45">
      <c r="A177" s="10">
        <f t="shared" si="17"/>
        <v>12.333333333333352</v>
      </c>
      <c r="B177" s="3">
        <f t="shared" si="18"/>
        <v>148.00000000000023</v>
      </c>
      <c r="C177" s="3">
        <f t="shared" si="19"/>
        <v>162.95826452455262</v>
      </c>
      <c r="D177" s="3">
        <f t="shared" si="15"/>
        <v>4956.6472126218086</v>
      </c>
      <c r="E177" s="3">
        <f t="shared" si="16"/>
        <v>1949716.9342647514</v>
      </c>
    </row>
    <row r="178" spans="1:5" x14ac:dyDescent="0.45">
      <c r="A178" s="10">
        <f t="shared" si="17"/>
        <v>12.416666666666686</v>
      </c>
      <c r="B178" s="3">
        <f t="shared" si="18"/>
        <v>149.00000000000023</v>
      </c>
      <c r="C178" s="3">
        <f t="shared" si="19"/>
        <v>162.18509324499169</v>
      </c>
      <c r="D178" s="3">
        <f t="shared" si="15"/>
        <v>4933.1299195351639</v>
      </c>
      <c r="E178" s="3">
        <f t="shared" si="16"/>
        <v>1954650.0641842866</v>
      </c>
    </row>
    <row r="179" spans="1:5" x14ac:dyDescent="0.45">
      <c r="A179" s="10">
        <f t="shared" si="17"/>
        <v>12.50000000000002</v>
      </c>
      <c r="B179" s="3">
        <f t="shared" si="18"/>
        <v>150.00000000000023</v>
      </c>
      <c r="C179" s="3">
        <f t="shared" si="19"/>
        <v>161.42072541814841</v>
      </c>
      <c r="D179" s="3">
        <f t="shared" si="15"/>
        <v>4909.8803981353476</v>
      </c>
      <c r="E179" s="3">
        <f t="shared" si="16"/>
        <v>1959559.944582422</v>
      </c>
    </row>
    <row r="180" spans="1:5" x14ac:dyDescent="0.45">
      <c r="A180" s="10">
        <f t="shared" si="17"/>
        <v>12.583333333333353</v>
      </c>
      <c r="B180" s="3">
        <f t="shared" si="18"/>
        <v>151.00000000000023</v>
      </c>
      <c r="C180" s="3">
        <f t="shared" si="19"/>
        <v>160.66500311284773</v>
      </c>
      <c r="D180" s="3">
        <f t="shared" si="15"/>
        <v>4886.8938446824523</v>
      </c>
      <c r="E180" s="3">
        <f t="shared" si="16"/>
        <v>1964446.8384271045</v>
      </c>
    </row>
    <row r="181" spans="1:5" x14ac:dyDescent="0.45">
      <c r="A181" s="10">
        <f t="shared" si="17"/>
        <v>12.666666666666687</v>
      </c>
      <c r="B181" s="3">
        <f t="shared" si="18"/>
        <v>152.00000000000026</v>
      </c>
      <c r="C181" s="3">
        <f t="shared" si="19"/>
        <v>159.9177722525267</v>
      </c>
      <c r="D181" s="3">
        <f t="shared" si="15"/>
        <v>4864.1655726810204</v>
      </c>
      <c r="E181" s="3">
        <f t="shared" si="16"/>
        <v>1969311.0039997855</v>
      </c>
    </row>
    <row r="182" spans="1:5" x14ac:dyDescent="0.45">
      <c r="A182" s="10">
        <f t="shared" si="17"/>
        <v>12.750000000000021</v>
      </c>
      <c r="B182" s="3">
        <f t="shared" si="18"/>
        <v>153.00000000000026</v>
      </c>
      <c r="C182" s="3">
        <f t="shared" si="19"/>
        <v>159.17888249655243</v>
      </c>
      <c r="D182" s="3">
        <f t="shared" si="15"/>
        <v>4841.6910092701364</v>
      </c>
      <c r="E182" s="3">
        <f t="shared" si="16"/>
        <v>1974152.6950090555</v>
      </c>
    </row>
    <row r="183" spans="1:5" x14ac:dyDescent="0.45">
      <c r="A183" s="10">
        <f t="shared" si="17"/>
        <v>12.833333333333355</v>
      </c>
      <c r="B183" s="3">
        <f t="shared" si="18"/>
        <v>154.00000000000026</v>
      </c>
      <c r="C183" s="3">
        <f t="shared" si="19"/>
        <v>158.44818712594264</v>
      </c>
      <c r="D183" s="3">
        <f t="shared" si="15"/>
        <v>4819.4656917474222</v>
      </c>
      <c r="E183" s="3">
        <f t="shared" si="16"/>
        <v>1978972.1607008029</v>
      </c>
    </row>
    <row r="184" spans="1:5" x14ac:dyDescent="0.45">
      <c r="A184" s="10">
        <f t="shared" si="17"/>
        <v>12.916666666666689</v>
      </c>
      <c r="B184" s="3">
        <f t="shared" si="18"/>
        <v>155.00000000000028</v>
      </c>
      <c r="C184" s="3">
        <f t="shared" si="19"/>
        <v>157.72554293329631</v>
      </c>
      <c r="D184" s="3">
        <f t="shared" si="15"/>
        <v>4797.4852642210963</v>
      </c>
      <c r="E184" s="3">
        <f t="shared" si="16"/>
        <v>1983769.6459650241</v>
      </c>
    </row>
    <row r="185" spans="1:5" x14ac:dyDescent="0.45">
      <c r="A185" s="10">
        <f t="shared" si="17"/>
        <v>13.000000000000023</v>
      </c>
      <c r="B185" s="3">
        <f t="shared" si="18"/>
        <v>156.00000000000028</v>
      </c>
      <c r="C185" s="3">
        <f t="shared" si="19"/>
        <v>157.01081011675598</v>
      </c>
      <c r="D185" s="3">
        <f t="shared" si="15"/>
        <v>4775.7454743846611</v>
      </c>
      <c r="E185" s="3">
        <f t="shared" si="16"/>
        <v>1988545.3914394088</v>
      </c>
    </row>
    <row r="186" spans="1:5" x14ac:dyDescent="0.45">
      <c r="A186" s="10">
        <f t="shared" si="17"/>
        <v>13.083333333333357</v>
      </c>
      <c r="B186" s="3">
        <f t="shared" si="18"/>
        <v>157.00000000000028</v>
      </c>
      <c r="C186" s="3">
        <f t="shared" si="19"/>
        <v>156.30385217782572</v>
      </c>
      <c r="D186" s="3">
        <f t="shared" si="15"/>
        <v>4754.2421704088656</v>
      </c>
      <c r="E186" s="3">
        <f t="shared" si="16"/>
        <v>1993299.6336098176</v>
      </c>
    </row>
    <row r="187" spans="1:5" x14ac:dyDescent="0.45">
      <c r="A187" s="10">
        <f t="shared" si="17"/>
        <v>13.166666666666691</v>
      </c>
      <c r="B187" s="3">
        <f t="shared" si="18"/>
        <v>158.00000000000028</v>
      </c>
      <c r="C187" s="3">
        <f t="shared" si="19"/>
        <v>155.60453582288434</v>
      </c>
      <c r="D187" s="3">
        <f t="shared" si="15"/>
        <v>4732.9712979460655</v>
      </c>
      <c r="E187" s="3">
        <f t="shared" si="16"/>
        <v>1998032.6049077637</v>
      </c>
    </row>
    <row r="188" spans="1:5" x14ac:dyDescent="0.45">
      <c r="A188" s="10">
        <f t="shared" si="17"/>
        <v>13.250000000000025</v>
      </c>
      <c r="B188" s="3">
        <f t="shared" si="18"/>
        <v>159.00000000000028</v>
      </c>
      <c r="C188" s="3">
        <f t="shared" si="19"/>
        <v>154.91273086823594</v>
      </c>
      <c r="D188" s="3">
        <f t="shared" si="15"/>
        <v>4711.9288972421764</v>
      </c>
      <c r="E188" s="3">
        <f t="shared" si="16"/>
        <v>2002744.5338050057</v>
      </c>
    </row>
    <row r="189" spans="1:5" x14ac:dyDescent="0.45">
      <c r="A189" s="10">
        <f t="shared" si="17"/>
        <v>13.333333333333359</v>
      </c>
      <c r="B189" s="3">
        <f t="shared" si="18"/>
        <v>160.00000000000031</v>
      </c>
      <c r="C189" s="3">
        <f t="shared" si="19"/>
        <v>154.22831014854944</v>
      </c>
      <c r="D189" s="3">
        <f t="shared" si="15"/>
        <v>4691.1111003517126</v>
      </c>
      <c r="E189" s="3">
        <f t="shared" si="16"/>
        <v>2007435.6449053574</v>
      </c>
    </row>
    <row r="190" spans="1:5" x14ac:dyDescent="0.45">
      <c r="A190" s="10">
        <f t="shared" si="17"/>
        <v>13.416666666666693</v>
      </c>
      <c r="B190" s="3">
        <f t="shared" si="18"/>
        <v>161.00000000000031</v>
      </c>
      <c r="C190" s="3">
        <f t="shared" si="19"/>
        <v>153.5511494285476</v>
      </c>
      <c r="D190" s="3">
        <f t="shared" si="15"/>
        <v>4670.5141284516567</v>
      </c>
      <c r="E190" s="3">
        <f t="shared" si="16"/>
        <v>2012106.1590338091</v>
      </c>
    </row>
    <row r="191" spans="1:5" x14ac:dyDescent="0.45">
      <c r="A191" s="10">
        <f t="shared" si="17"/>
        <v>13.500000000000027</v>
      </c>
      <c r="B191" s="3">
        <f t="shared" si="18"/>
        <v>162.00000000000031</v>
      </c>
      <c r="C191" s="3">
        <f t="shared" si="19"/>
        <v>152.88112731780745</v>
      </c>
      <c r="D191" s="3">
        <f t="shared" si="15"/>
        <v>4650.134289249977</v>
      </c>
      <c r="E191" s="3">
        <f t="shared" si="16"/>
        <v>2016756.2933230591</v>
      </c>
    </row>
    <row r="192" spans="1:5" x14ac:dyDescent="0.45">
      <c r="A192" s="10">
        <f t="shared" si="17"/>
        <v>13.583333333333361</v>
      </c>
      <c r="B192" s="3">
        <f t="shared" si="18"/>
        <v>163.00000000000034</v>
      </c>
      <c r="C192" s="3">
        <f t="shared" si="19"/>
        <v>152.21812518854802</v>
      </c>
      <c r="D192" s="3">
        <f t="shared" si="15"/>
        <v>4629.9679744850027</v>
      </c>
      <c r="E192" s="3">
        <f t="shared" si="16"/>
        <v>2021386.261297544</v>
      </c>
    </row>
    <row r="193" spans="1:5" x14ac:dyDescent="0.45">
      <c r="A193" s="10">
        <f t="shared" si="17"/>
        <v>13.666666666666694</v>
      </c>
      <c r="B193" s="3">
        <f t="shared" si="18"/>
        <v>164.00000000000034</v>
      </c>
      <c r="C193" s="3">
        <f t="shared" si="19"/>
        <v>151.56202709628002</v>
      </c>
      <c r="D193" s="3">
        <f t="shared" si="15"/>
        <v>4610.0116575118509</v>
      </c>
      <c r="E193" s="3">
        <f t="shared" si="16"/>
        <v>2025996.2729550558</v>
      </c>
    </row>
    <row r="194" spans="1:5" x14ac:dyDescent="0.45">
      <c r="A194" s="10">
        <f t="shared" si="17"/>
        <v>13.750000000000028</v>
      </c>
      <c r="B194" s="3">
        <f t="shared" si="18"/>
        <v>165.00000000000034</v>
      </c>
      <c r="C194" s="3">
        <f t="shared" si="19"/>
        <v>150.91271970320261</v>
      </c>
      <c r="D194" s="3">
        <f t="shared" si="15"/>
        <v>4590.2618909724133</v>
      </c>
      <c r="E194" s="3">
        <f t="shared" si="16"/>
        <v>2030586.5348460283</v>
      </c>
    </row>
    <row r="195" spans="1:5" x14ac:dyDescent="0.45">
      <c r="A195" s="10">
        <f t="shared" si="17"/>
        <v>13.833333333333362</v>
      </c>
      <c r="B195" s="3">
        <f t="shared" si="18"/>
        <v>166.00000000000034</v>
      </c>
      <c r="C195" s="3">
        <f t="shared" si="19"/>
        <v>150.27009220423571</v>
      </c>
      <c r="D195" s="3">
        <f t="shared" si="15"/>
        <v>4570.7153045455034</v>
      </c>
      <c r="E195" s="3">
        <f t="shared" si="16"/>
        <v>2035157.2501505739</v>
      </c>
    </row>
    <row r="196" spans="1:5" x14ac:dyDescent="0.45">
      <c r="A196" s="10">
        <f t="shared" si="17"/>
        <v>13.916666666666696</v>
      </c>
      <c r="B196" s="3">
        <f t="shared" si="18"/>
        <v>167.00000000000034</v>
      </c>
      <c r="C196" s="3">
        <f t="shared" si="19"/>
        <v>149.63403625558163</v>
      </c>
      <c r="D196" s="3">
        <f t="shared" si="15"/>
        <v>4551.3686027739413</v>
      </c>
      <c r="E196" s="3">
        <f t="shared" si="16"/>
        <v>2039708.6187533478</v>
      </c>
    </row>
    <row r="197" spans="1:5" x14ac:dyDescent="0.45">
      <c r="A197" s="10">
        <f t="shared" si="17"/>
        <v>14.00000000000003</v>
      </c>
      <c r="B197" s="3">
        <f t="shared" si="18"/>
        <v>168.00000000000037</v>
      </c>
      <c r="C197" s="3">
        <f t="shared" si="19"/>
        <v>149.00444590571576</v>
      </c>
      <c r="D197" s="3">
        <f t="shared" si="15"/>
        <v>4532.2185629655214</v>
      </c>
      <c r="E197" s="3">
        <f t="shared" si="16"/>
        <v>2044240.8373163133</v>
      </c>
    </row>
    <row r="198" spans="1:5" x14ac:dyDescent="0.45">
      <c r="A198" s="10">
        <f t="shared" si="17"/>
        <v>14.083333333333364</v>
      </c>
      <c r="B198" s="3">
        <f t="shared" si="18"/>
        <v>169.00000000000037</v>
      </c>
      <c r="C198" s="3">
        <f t="shared" si="19"/>
        <v>148.3812175287095</v>
      </c>
      <c r="D198" s="3">
        <f t="shared" si="15"/>
        <v>4513.2620331649141</v>
      </c>
      <c r="E198" s="3">
        <f t="shared" si="16"/>
        <v>2048754.0993494783</v>
      </c>
    </row>
    <row r="199" spans="1:5" x14ac:dyDescent="0.45">
      <c r="A199" s="10">
        <f t="shared" si="17"/>
        <v>14.166666666666698</v>
      </c>
      <c r="B199" s="3">
        <f t="shared" si="18"/>
        <v>170.00000000000037</v>
      </c>
      <c r="C199" s="3">
        <f t="shared" si="19"/>
        <v>147.76424975979208</v>
      </c>
      <c r="D199" s="3">
        <f t="shared" si="15"/>
        <v>4494.495930193676</v>
      </c>
      <c r="E199" s="3">
        <f t="shared" si="16"/>
        <v>2053248.595279672</v>
      </c>
    </row>
    <row r="200" spans="1:5" x14ac:dyDescent="0.45">
      <c r="A200" s="10">
        <f t="shared" si="17"/>
        <v>14.250000000000032</v>
      </c>
      <c r="B200" s="3">
        <f t="shared" si="18"/>
        <v>171.0000000000004</v>
      </c>
      <c r="C200" s="3">
        <f t="shared" si="19"/>
        <v>147.15344343306637</v>
      </c>
      <c r="D200" s="3">
        <f t="shared" si="15"/>
        <v>4475.9172377557688</v>
      </c>
      <c r="E200" s="3">
        <f t="shared" si="16"/>
        <v>2057724.5125174278</v>
      </c>
    </row>
    <row r="201" spans="1:5" x14ac:dyDescent="0.45">
      <c r="A201" s="10">
        <f t="shared" si="17"/>
        <v>14.333333333333366</v>
      </c>
      <c r="B201" s="3">
        <f t="shared" si="18"/>
        <v>172.0000000000004</v>
      </c>
      <c r="C201" s="3">
        <f t="shared" si="19"/>
        <v>146.54870152129109</v>
      </c>
      <c r="D201" s="3">
        <f t="shared" si="15"/>
        <v>4457.5230046059378</v>
      </c>
      <c r="E201" s="3">
        <f t="shared" si="16"/>
        <v>2062182.0355220337</v>
      </c>
    </row>
    <row r="202" spans="1:5" x14ac:dyDescent="0.45">
      <c r="A202" s="10">
        <f t="shared" si="17"/>
        <v>14.4166666666667</v>
      </c>
      <c r="B202" s="3">
        <f t="shared" si="18"/>
        <v>173.0000000000004</v>
      </c>
      <c r="C202" s="3">
        <f t="shared" si="19"/>
        <v>145.94992907765214</v>
      </c>
      <c r="D202" s="3">
        <f t="shared" si="15"/>
        <v>4439.3103427785863</v>
      </c>
      <c r="E202" s="3">
        <f t="shared" si="16"/>
        <v>2066621.3458648124</v>
      </c>
    </row>
    <row r="203" spans="1:5" x14ac:dyDescent="0.45">
      <c r="A203" s="10">
        <f t="shared" si="17"/>
        <v>14.500000000000034</v>
      </c>
      <c r="B203" s="3">
        <f t="shared" si="18"/>
        <v>174.0000000000004</v>
      </c>
      <c r="C203" s="3">
        <f t="shared" si="19"/>
        <v>145.3570331794443</v>
      </c>
      <c r="D203" s="3">
        <f t="shared" si="15"/>
        <v>4421.2764258747648</v>
      </c>
      <c r="E203" s="3">
        <f t="shared" si="16"/>
        <v>2071042.6222906872</v>
      </c>
    </row>
    <row r="204" spans="1:5" x14ac:dyDescent="0.45">
      <c r="A204" s="10">
        <f t="shared" si="17"/>
        <v>14.583333333333368</v>
      </c>
      <c r="B204" s="3">
        <f t="shared" si="18"/>
        <v>175.0000000000004</v>
      </c>
      <c r="C204" s="3">
        <f t="shared" si="19"/>
        <v>144.76992287359118</v>
      </c>
      <c r="D204" s="3">
        <f t="shared" si="15"/>
        <v>4403.4184874050652</v>
      </c>
      <c r="E204" s="3">
        <f t="shared" si="16"/>
        <v>2075446.0407780923</v>
      </c>
    </row>
    <row r="205" spans="1:5" x14ac:dyDescent="0.45">
      <c r="A205" s="10">
        <f t="shared" si="17"/>
        <v>14.666666666666702</v>
      </c>
      <c r="B205" s="3">
        <f t="shared" si="18"/>
        <v>176.00000000000043</v>
      </c>
      <c r="C205" s="3">
        <f t="shared" si="19"/>
        <v>144.18850912393353</v>
      </c>
      <c r="D205" s="3">
        <f t="shared" si="15"/>
        <v>4385.7338191863118</v>
      </c>
      <c r="E205" s="3">
        <f t="shared" si="16"/>
        <v>2079831.7745972786</v>
      </c>
    </row>
    <row r="206" spans="1:5" x14ac:dyDescent="0.45">
      <c r="A206" s="10">
        <f t="shared" si="17"/>
        <v>14.750000000000036</v>
      </c>
      <c r="B206" s="3">
        <f t="shared" si="18"/>
        <v>177.00000000000043</v>
      </c>
      <c r="C206" s="3">
        <f t="shared" si="19"/>
        <v>143.61270476021744</v>
      </c>
      <c r="D206" s="3">
        <f t="shared" si="15"/>
        <v>4368.2197697899473</v>
      </c>
      <c r="E206" s="3">
        <f t="shared" si="16"/>
        <v>2084199.9943670684</v>
      </c>
    </row>
    <row r="207" spans="1:5" x14ac:dyDescent="0.45">
      <c r="A207" s="10">
        <f t="shared" si="17"/>
        <v>14.833333333333369</v>
      </c>
      <c r="B207" s="3">
        <f t="shared" si="18"/>
        <v>178.00000000000043</v>
      </c>
      <c r="C207" s="3">
        <f t="shared" si="19"/>
        <v>143.04242442871964</v>
      </c>
      <c r="D207" s="3">
        <f t="shared" si="15"/>
        <v>4350.8737430402225</v>
      </c>
      <c r="E207" s="3">
        <f t="shared" si="16"/>
        <v>2088550.8681101087</v>
      </c>
    </row>
    <row r="208" spans="1:5" x14ac:dyDescent="0.45">
      <c r="A208" s="10">
        <f t="shared" si="17"/>
        <v>14.916666666666703</v>
      </c>
      <c r="B208" s="3">
        <f t="shared" si="18"/>
        <v>179.00000000000045</v>
      </c>
      <c r="C208" s="3">
        <f t="shared" si="19"/>
        <v>142.47758454444815</v>
      </c>
      <c r="D208" s="3">
        <f t="shared" si="15"/>
        <v>4333.693196560298</v>
      </c>
      <c r="E208" s="3">
        <f t="shared" si="16"/>
        <v>2092884.5613066689</v>
      </c>
    </row>
    <row r="209" spans="1:5" x14ac:dyDescent="0.45">
      <c r="A209" s="10">
        <f t="shared" si="17"/>
        <v>15.000000000000037</v>
      </c>
      <c r="B209" s="3">
        <f t="shared" si="18"/>
        <v>180.00000000000045</v>
      </c>
      <c r="C209" s="3">
        <f t="shared" si="19"/>
        <v>141.91810324485934</v>
      </c>
      <c r="D209" s="3">
        <f t="shared" si="15"/>
        <v>4316.6756403644713</v>
      </c>
      <c r="E209" s="3">
        <f t="shared" si="16"/>
        <v>2097201.2369470336</v>
      </c>
    </row>
    <row r="210" spans="1:5" x14ac:dyDescent="0.45">
      <c r="A210" s="10">
        <f t="shared" si="17"/>
        <v>15.083333333333371</v>
      </c>
      <c r="B210" s="3">
        <f t="shared" si="18"/>
        <v>181.00000000000045</v>
      </c>
      <c r="C210" s="3">
        <f t="shared" si="19"/>
        <v>141.36390034503543</v>
      </c>
      <c r="D210" s="3">
        <f t="shared" si="15"/>
        <v>4299.8186354948275</v>
      </c>
      <c r="E210" s="3">
        <f t="shared" si="16"/>
        <v>2101501.0555825285</v>
      </c>
    </row>
    <row r="211" spans="1:5" x14ac:dyDescent="0.45">
      <c r="A211" s="10">
        <f t="shared" si="17"/>
        <v>15.166666666666705</v>
      </c>
      <c r="B211" s="3">
        <f t="shared" si="18"/>
        <v>182.00000000000045</v>
      </c>
      <c r="C211" s="3">
        <f t="shared" si="19"/>
        <v>140.81489729426818</v>
      </c>
      <c r="D211" s="3">
        <f t="shared" si="15"/>
        <v>4283.1197927006569</v>
      </c>
      <c r="E211" s="3">
        <f t="shared" si="16"/>
        <v>2105784.1753752292</v>
      </c>
    </row>
    <row r="212" spans="1:5" x14ac:dyDescent="0.45">
      <c r="A212" s="10">
        <f t="shared" si="17"/>
        <v>15.250000000000039</v>
      </c>
      <c r="B212" s="3">
        <f t="shared" si="18"/>
        <v>183.00000000000045</v>
      </c>
      <c r="C212" s="3">
        <f t="shared" si="19"/>
        <v>140.27101713399799</v>
      </c>
      <c r="D212" s="3">
        <f t="shared" ref="D212:D269" si="20">C212*(365/12)</f>
        <v>4266.5767711591052</v>
      </c>
      <c r="E212" s="3">
        <f t="shared" ref="E212:E269" si="21">E211+D212</f>
        <v>2110050.7521463884</v>
      </c>
    </row>
    <row r="213" spans="1:5" x14ac:dyDescent="0.45">
      <c r="A213" s="10">
        <f t="shared" si="17"/>
        <v>15.333333333333373</v>
      </c>
      <c r="B213" s="3">
        <f t="shared" si="18"/>
        <v>184.00000000000048</v>
      </c>
      <c r="C213" s="3">
        <f t="shared" si="19"/>
        <v>139.73218445705777</v>
      </c>
      <c r="D213" s="3">
        <f t="shared" si="20"/>
        <v>4250.1872772355073</v>
      </c>
      <c r="E213" s="3">
        <f t="shared" si="21"/>
        <v>2114300.939423624</v>
      </c>
    </row>
    <row r="214" spans="1:5" x14ac:dyDescent="0.45">
      <c r="A214" s="10">
        <f t="shared" si="17"/>
        <v>15.416666666666707</v>
      </c>
      <c r="B214" s="3">
        <f t="shared" si="18"/>
        <v>185.00000000000048</v>
      </c>
      <c r="C214" s="3">
        <f t="shared" si="19"/>
        <v>139.1983253681758</v>
      </c>
      <c r="D214" s="3">
        <f t="shared" si="20"/>
        <v>4233.9490632820143</v>
      </c>
      <c r="E214" s="3">
        <f t="shared" si="21"/>
        <v>2118534.888486906</v>
      </c>
    </row>
    <row r="215" spans="1:5" x14ac:dyDescent="0.45">
      <c r="A215" s="10">
        <f t="shared" si="17"/>
        <v>15.500000000000041</v>
      </c>
      <c r="B215" s="3">
        <f t="shared" si="18"/>
        <v>186.00000000000048</v>
      </c>
      <c r="C215" s="3">
        <f t="shared" si="19"/>
        <v>138.66936744569003</v>
      </c>
      <c r="D215" s="3">
        <f t="shared" si="20"/>
        <v>4217.8599264730719</v>
      </c>
      <c r="E215" s="3">
        <f t="shared" si="21"/>
        <v>2122752.7484133788</v>
      </c>
    </row>
    <row r="216" spans="1:5" x14ac:dyDescent="0.45">
      <c r="A216" s="10">
        <f t="shared" si="17"/>
        <v>15.583333333333375</v>
      </c>
      <c r="B216" s="3">
        <f t="shared" si="18"/>
        <v>187.00000000000051</v>
      </c>
      <c r="C216" s="3">
        <f t="shared" si="19"/>
        <v>138.14523970443273</v>
      </c>
      <c r="D216" s="3">
        <f t="shared" si="20"/>
        <v>4201.9177076764954</v>
      </c>
      <c r="E216" s="3">
        <f t="shared" si="21"/>
        <v>2126954.6661210554</v>
      </c>
    </row>
    <row r="217" spans="1:5" x14ac:dyDescent="0.45">
      <c r="A217" s="10">
        <f t="shared" si="17"/>
        <v>15.666666666666709</v>
      </c>
      <c r="B217" s="3">
        <f t="shared" si="18"/>
        <v>188.00000000000051</v>
      </c>
      <c r="C217" s="3">
        <f t="shared" si="19"/>
        <v>137.62587255974245</v>
      </c>
      <c r="D217" s="3">
        <f t="shared" si="20"/>
        <v>4186.1202903588328</v>
      </c>
      <c r="E217" s="3">
        <f t="shared" si="21"/>
        <v>2131140.7864114144</v>
      </c>
    </row>
    <row r="218" spans="1:5" x14ac:dyDescent="0.45">
      <c r="A218" s="10">
        <f t="shared" si="17"/>
        <v>15.750000000000043</v>
      </c>
      <c r="B218" s="3">
        <f t="shared" si="18"/>
        <v>189.00000000000051</v>
      </c>
      <c r="C218" s="3">
        <f t="shared" si="19"/>
        <v>137.11119779256245</v>
      </c>
      <c r="D218" s="3">
        <f t="shared" si="20"/>
        <v>4170.4655995237745</v>
      </c>
      <c r="E218" s="3">
        <f t="shared" si="21"/>
        <v>2135311.2520109382</v>
      </c>
    </row>
    <row r="219" spans="1:5" x14ac:dyDescent="0.45">
      <c r="A219" s="10">
        <f t="shared" si="17"/>
        <v>15.833333333333377</v>
      </c>
      <c r="B219" s="3">
        <f t="shared" si="18"/>
        <v>190.00000000000051</v>
      </c>
      <c r="C219" s="3">
        <f t="shared" si="19"/>
        <v>136.60114851558899</v>
      </c>
      <c r="D219" s="3">
        <f t="shared" si="20"/>
        <v>4154.9516006824988</v>
      </c>
      <c r="E219" s="3">
        <f t="shared" si="21"/>
        <v>2139466.2036116207</v>
      </c>
    </row>
    <row r="220" spans="1:5" x14ac:dyDescent="0.45">
      <c r="A220" s="10">
        <f t="shared" si="17"/>
        <v>15.91666666666671</v>
      </c>
      <c r="B220" s="3">
        <f t="shared" si="18"/>
        <v>191.00000000000051</v>
      </c>
      <c r="C220" s="3">
        <f t="shared" si="19"/>
        <v>136.09565914043162</v>
      </c>
      <c r="D220" s="3">
        <f t="shared" si="20"/>
        <v>4139.5762988547949</v>
      </c>
      <c r="E220" s="3">
        <f t="shared" si="21"/>
        <v>2143605.7799104755</v>
      </c>
    </row>
    <row r="221" spans="1:5" x14ac:dyDescent="0.45">
      <c r="A221" s="10">
        <f t="shared" si="17"/>
        <v>16.000000000000043</v>
      </c>
      <c r="B221" s="3">
        <f t="shared" si="18"/>
        <v>192.00000000000051</v>
      </c>
      <c r="C221" s="3">
        <f t="shared" si="19"/>
        <v>135.59466534575006</v>
      </c>
      <c r="D221" s="3">
        <f t="shared" si="20"/>
        <v>4124.337737599898</v>
      </c>
      <c r="E221" s="3">
        <f t="shared" si="21"/>
        <v>2147730.1176480753</v>
      </c>
    </row>
    <row r="222" spans="1:5" x14ac:dyDescent="0.45">
      <c r="A222" s="10">
        <f t="shared" si="17"/>
        <v>16.083333333333375</v>
      </c>
      <c r="B222" s="3">
        <f t="shared" si="18"/>
        <v>193.00000000000051</v>
      </c>
      <c r="C222" s="3">
        <f t="shared" si="19"/>
        <v>135.09810404633384</v>
      </c>
      <c r="D222" s="3">
        <f t="shared" si="20"/>
        <v>4109.233998075988</v>
      </c>
      <c r="E222" s="3">
        <f t="shared" si="21"/>
        <v>2151839.3516461514</v>
      </c>
    </row>
    <row r="223" spans="1:5" x14ac:dyDescent="0.45">
      <c r="A223" s="10">
        <f t="shared" si="17"/>
        <v>16.166666666666707</v>
      </c>
      <c r="B223" s="3">
        <f t="shared" si="18"/>
        <v>194.00000000000048</v>
      </c>
      <c r="C223" s="3">
        <f t="shared" si="19"/>
        <v>134.60591336309216</v>
      </c>
      <c r="D223" s="3">
        <f t="shared" si="20"/>
        <v>4094.2631981273867</v>
      </c>
      <c r="E223" s="3">
        <f t="shared" si="21"/>
        <v>2155933.6148442789</v>
      </c>
    </row>
    <row r="224" spans="1:5" x14ac:dyDescent="0.45">
      <c r="A224" s="10">
        <f t="shared" si="17"/>
        <v>16.250000000000039</v>
      </c>
      <c r="B224" s="3">
        <f t="shared" si="18"/>
        <v>195.00000000000045</v>
      </c>
      <c r="C224" s="3">
        <f t="shared" si="19"/>
        <v>134.11803259392295</v>
      </c>
      <c r="D224" s="3">
        <f t="shared" si="20"/>
        <v>4079.4234913984897</v>
      </c>
      <c r="E224" s="3">
        <f t="shared" si="21"/>
        <v>2160013.0383356772</v>
      </c>
    </row>
    <row r="225" spans="1:5" x14ac:dyDescent="0.45">
      <c r="A225" s="10">
        <f t="shared" si="17"/>
        <v>16.333333333333371</v>
      </c>
      <c r="B225" s="3">
        <f t="shared" si="18"/>
        <v>196.00000000000045</v>
      </c>
      <c r="C225" s="3">
        <f t="shared" si="19"/>
        <v>133.63440218542976</v>
      </c>
      <c r="D225" s="3">
        <f t="shared" si="20"/>
        <v>4064.7130664734887</v>
      </c>
      <c r="E225" s="3">
        <f t="shared" si="21"/>
        <v>2164077.7514021508</v>
      </c>
    </row>
    <row r="226" spans="1:5" x14ac:dyDescent="0.45">
      <c r="A226" s="10">
        <f t="shared" si="17"/>
        <v>16.416666666666703</v>
      </c>
      <c r="B226" s="3">
        <f t="shared" si="18"/>
        <v>197.00000000000045</v>
      </c>
      <c r="C226" s="3">
        <f t="shared" si="19"/>
        <v>133.15496370545964</v>
      </c>
      <c r="D226" s="3">
        <f t="shared" si="20"/>
        <v>4050.1301460410641</v>
      </c>
      <c r="E226" s="3">
        <f t="shared" si="21"/>
        <v>2168127.8815481919</v>
      </c>
    </row>
    <row r="227" spans="1:5" x14ac:dyDescent="0.45">
      <c r="A227" s="10">
        <f t="shared" si="17"/>
        <v>16.500000000000036</v>
      </c>
      <c r="B227" s="3">
        <f t="shared" si="18"/>
        <v>198.00000000000043</v>
      </c>
      <c r="C227" s="3">
        <f t="shared" si="19"/>
        <v>132.67965981643229</v>
      </c>
      <c r="D227" s="3">
        <f t="shared" si="20"/>
        <v>4035.6729860831492</v>
      </c>
      <c r="E227" s="3">
        <f t="shared" si="21"/>
        <v>2172163.5545342751</v>
      </c>
    </row>
    <row r="228" spans="1:5" x14ac:dyDescent="0.45">
      <c r="A228" s="10">
        <f t="shared" si="17"/>
        <v>16.583333333333368</v>
      </c>
      <c r="B228" s="3">
        <f t="shared" si="18"/>
        <v>199.0000000000004</v>
      </c>
      <c r="C228" s="3">
        <f t="shared" si="19"/>
        <v>132.2084342494347</v>
      </c>
      <c r="D228" s="3">
        <f t="shared" si="20"/>
        <v>4021.3398750869724</v>
      </c>
      <c r="E228" s="3">
        <f t="shared" si="21"/>
        <v>2176184.8944093622</v>
      </c>
    </row>
    <row r="229" spans="1:5" x14ac:dyDescent="0.45">
      <c r="A229" s="10">
        <f t="shared" si="17"/>
        <v>16.6666666666667</v>
      </c>
      <c r="B229" s="3">
        <f t="shared" si="18"/>
        <v>200.0000000000004</v>
      </c>
      <c r="C229" s="3">
        <f t="shared" si="19"/>
        <v>131.74123177905554</v>
      </c>
      <c r="D229" s="3">
        <f t="shared" si="20"/>
        <v>4007.1291332796063</v>
      </c>
      <c r="E229" s="3">
        <f t="shared" si="21"/>
        <v>2180192.0235426417</v>
      </c>
    </row>
    <row r="230" spans="1:5" x14ac:dyDescent="0.45">
      <c r="A230" s="10">
        <f t="shared" si="17"/>
        <v>16.750000000000032</v>
      </c>
      <c r="B230" s="3">
        <f t="shared" si="18"/>
        <v>201.0000000000004</v>
      </c>
      <c r="C230" s="3">
        <f t="shared" si="19"/>
        <v>131.27799819893494</v>
      </c>
      <c r="D230" s="3">
        <f t="shared" si="20"/>
        <v>3993.0391118842713</v>
      </c>
      <c r="E230" s="3">
        <f t="shared" si="21"/>
        <v>2184185.062654526</v>
      </c>
    </row>
    <row r="231" spans="1:5" x14ac:dyDescent="0.45">
      <c r="A231" s="10">
        <f t="shared" si="17"/>
        <v>16.833333333333364</v>
      </c>
      <c r="B231" s="3">
        <f t="shared" si="18"/>
        <v>202.00000000000037</v>
      </c>
      <c r="C231" s="3">
        <f t="shared" si="19"/>
        <v>130.81868029800395</v>
      </c>
      <c r="D231" s="3">
        <f t="shared" si="20"/>
        <v>3979.0681923976204</v>
      </c>
      <c r="E231" s="3">
        <f t="shared" si="21"/>
        <v>2188164.1308469237</v>
      </c>
    </row>
    <row r="232" spans="1:5" x14ac:dyDescent="0.45">
      <c r="A232" s="10">
        <f t="shared" si="17"/>
        <v>16.916666666666696</v>
      </c>
      <c r="B232" s="3">
        <f t="shared" si="18"/>
        <v>203.00000000000034</v>
      </c>
      <c r="C232" s="3">
        <f t="shared" si="19"/>
        <v>130.36322583739494</v>
      </c>
      <c r="D232" s="3">
        <f t="shared" si="20"/>
        <v>3965.2147858874296</v>
      </c>
      <c r="E232" s="3">
        <f t="shared" si="21"/>
        <v>2192129.3456328111</v>
      </c>
    </row>
    <row r="233" spans="1:5" x14ac:dyDescent="0.45">
      <c r="A233" s="10">
        <f t="shared" si="17"/>
        <v>17.000000000000028</v>
      </c>
      <c r="B233" s="3">
        <f t="shared" si="18"/>
        <v>204.00000000000034</v>
      </c>
      <c r="C233" s="3">
        <f t="shared" si="19"/>
        <v>129.9115835279953</v>
      </c>
      <c r="D233" s="3">
        <f t="shared" si="20"/>
        <v>3951.4773323098575</v>
      </c>
      <c r="E233" s="3">
        <f t="shared" si="21"/>
        <v>2196080.8229651209</v>
      </c>
    </row>
    <row r="234" spans="1:5" x14ac:dyDescent="0.45">
      <c r="A234" s="10">
        <f t="shared" ref="A234:A269" si="22">A233+(1/12)</f>
        <v>17.083333333333361</v>
      </c>
      <c r="B234" s="3">
        <f t="shared" ref="B234:B269" si="23">A234*12</f>
        <v>205.00000000000034</v>
      </c>
      <c r="C234" s="3">
        <f t="shared" ref="C234:C269" si="24">$B$4*(B234^$B$5)</f>
        <v>129.46370300862898</v>
      </c>
      <c r="D234" s="3">
        <f t="shared" si="20"/>
        <v>3937.8542998457983</v>
      </c>
      <c r="E234" s="3">
        <f t="shared" si="21"/>
        <v>2200018.6772649665</v>
      </c>
    </row>
    <row r="235" spans="1:5" x14ac:dyDescent="0.45">
      <c r="A235" s="10">
        <f t="shared" si="22"/>
        <v>17.166666666666693</v>
      </c>
      <c r="B235" s="3">
        <f t="shared" si="23"/>
        <v>206.00000000000031</v>
      </c>
      <c r="C235" s="3">
        <f t="shared" si="24"/>
        <v>129.01953482484149</v>
      </c>
      <c r="D235" s="3">
        <f t="shared" si="20"/>
        <v>3924.3441842555953</v>
      </c>
      <c r="E235" s="3">
        <f t="shared" si="21"/>
        <v>2203943.0214492222</v>
      </c>
    </row>
    <row r="236" spans="1:5" x14ac:dyDescent="0.45">
      <c r="A236" s="10">
        <f t="shared" si="22"/>
        <v>17.250000000000025</v>
      </c>
      <c r="B236" s="3">
        <f t="shared" si="23"/>
        <v>207.00000000000028</v>
      </c>
      <c r="C236" s="3">
        <f t="shared" si="24"/>
        <v>128.57903040827026</v>
      </c>
      <c r="D236" s="3">
        <f t="shared" si="20"/>
        <v>3910.9455082515537</v>
      </c>
      <c r="E236" s="3">
        <f t="shared" si="21"/>
        <v>2207853.9669574737</v>
      </c>
    </row>
    <row r="237" spans="1:5" x14ac:dyDescent="0.45">
      <c r="A237" s="10">
        <f t="shared" si="22"/>
        <v>17.333333333333357</v>
      </c>
      <c r="B237" s="3">
        <f t="shared" si="23"/>
        <v>208.00000000000028</v>
      </c>
      <c r="C237" s="3">
        <f t="shared" si="24"/>
        <v>128.14214205658166</v>
      </c>
      <c r="D237" s="3">
        <f t="shared" si="20"/>
        <v>3897.6568208876924</v>
      </c>
      <c r="E237" s="3">
        <f t="shared" si="21"/>
        <v>2211751.6237783614</v>
      </c>
    </row>
    <row r="238" spans="1:5" x14ac:dyDescent="0.45">
      <c r="A238" s="10">
        <f t="shared" si="22"/>
        <v>17.416666666666689</v>
      </c>
      <c r="B238" s="3">
        <f t="shared" si="23"/>
        <v>209.00000000000028</v>
      </c>
      <c r="C238" s="3">
        <f t="shared" si="24"/>
        <v>127.70882291395617</v>
      </c>
      <c r="D238" s="3">
        <f t="shared" si="20"/>
        <v>3884.4766969661669</v>
      </c>
      <c r="E238" s="3">
        <f t="shared" si="21"/>
        <v>2215636.1004753276</v>
      </c>
    </row>
    <row r="239" spans="1:5" x14ac:dyDescent="0.45">
      <c r="A239" s="10">
        <f t="shared" si="22"/>
        <v>17.500000000000021</v>
      </c>
      <c r="B239" s="3">
        <f t="shared" si="23"/>
        <v>210.00000000000026</v>
      </c>
      <c r="C239" s="3">
        <f t="shared" si="24"/>
        <v>127.27902695210385</v>
      </c>
      <c r="D239" s="3">
        <f t="shared" si="20"/>
        <v>3871.4037364598257</v>
      </c>
      <c r="E239" s="3">
        <f t="shared" si="21"/>
        <v>2219507.5042117876</v>
      </c>
    </row>
    <row r="240" spans="1:5" x14ac:dyDescent="0.45">
      <c r="A240" s="10">
        <f t="shared" si="22"/>
        <v>17.583333333333353</v>
      </c>
      <c r="B240" s="3">
        <f t="shared" si="23"/>
        <v>211.00000000000023</v>
      </c>
      <c r="C240" s="3">
        <f t="shared" si="24"/>
        <v>126.85270895179383</v>
      </c>
      <c r="D240" s="3">
        <f t="shared" si="20"/>
        <v>3858.4365639503958</v>
      </c>
      <c r="E240" s="3">
        <f t="shared" si="21"/>
        <v>2223365.9407757381</v>
      </c>
    </row>
    <row r="241" spans="1:5" x14ac:dyDescent="0.45">
      <c r="A241" s="10">
        <f t="shared" si="22"/>
        <v>17.666666666666686</v>
      </c>
      <c r="B241" s="3">
        <f t="shared" si="23"/>
        <v>212.00000000000023</v>
      </c>
      <c r="C241" s="3">
        <f t="shared" si="24"/>
        <v>126.42982448488142</v>
      </c>
      <c r="D241" s="3">
        <f t="shared" si="20"/>
        <v>3845.57382808181</v>
      </c>
      <c r="E241" s="3">
        <f t="shared" si="21"/>
        <v>2227211.5146038197</v>
      </c>
    </row>
    <row r="242" spans="1:5" x14ac:dyDescent="0.45">
      <c r="A242" s="10">
        <f t="shared" si="22"/>
        <v>17.750000000000018</v>
      </c>
      <c r="B242" s="3">
        <f t="shared" si="23"/>
        <v>213.00000000000023</v>
      </c>
      <c r="C242" s="3">
        <f t="shared" si="24"/>
        <v>126.0103298968168</v>
      </c>
      <c r="D242" s="3">
        <f t="shared" si="20"/>
        <v>3832.8142010281776</v>
      </c>
      <c r="E242" s="3">
        <f t="shared" si="21"/>
        <v>2231044.3288048478</v>
      </c>
    </row>
    <row r="243" spans="1:5" x14ac:dyDescent="0.45">
      <c r="A243" s="10">
        <f t="shared" si="22"/>
        <v>17.83333333333335</v>
      </c>
      <c r="B243" s="3">
        <f t="shared" si="23"/>
        <v>214.0000000000002</v>
      </c>
      <c r="C243" s="3">
        <f t="shared" si="24"/>
        <v>125.59418228962068</v>
      </c>
      <c r="D243" s="3">
        <f t="shared" si="20"/>
        <v>3820.1563779759622</v>
      </c>
      <c r="E243" s="3">
        <f t="shared" si="21"/>
        <v>2234864.4851828236</v>
      </c>
    </row>
    <row r="244" spans="1:5" x14ac:dyDescent="0.45">
      <c r="A244" s="10">
        <f t="shared" si="22"/>
        <v>17.916666666666682</v>
      </c>
      <c r="B244" s="3">
        <f t="shared" si="23"/>
        <v>215.00000000000017</v>
      </c>
      <c r="C244" s="3">
        <f t="shared" si="24"/>
        <v>125.18133950531164</v>
      </c>
      <c r="D244" s="3">
        <f t="shared" si="20"/>
        <v>3807.5990766198961</v>
      </c>
      <c r="E244" s="3">
        <f t="shared" si="21"/>
        <v>2238672.0842594435</v>
      </c>
    </row>
    <row r="245" spans="1:5" x14ac:dyDescent="0.45">
      <c r="A245" s="10">
        <f t="shared" si="22"/>
        <v>18.000000000000014</v>
      </c>
      <c r="B245" s="3">
        <f t="shared" si="23"/>
        <v>216.00000000000017</v>
      </c>
      <c r="C245" s="3">
        <f t="shared" si="24"/>
        <v>124.771760109772</v>
      </c>
      <c r="D245" s="3">
        <f t="shared" si="20"/>
        <v>3795.1410366722321</v>
      </c>
      <c r="E245" s="3">
        <f t="shared" si="21"/>
        <v>2242467.2252961155</v>
      </c>
    </row>
    <row r="246" spans="1:5" x14ac:dyDescent="0.45">
      <c r="A246" s="10">
        <f t="shared" si="22"/>
        <v>18.083333333333346</v>
      </c>
      <c r="B246" s="3">
        <f t="shared" si="23"/>
        <v>217.00000000000017</v>
      </c>
      <c r="C246" s="3">
        <f t="shared" si="24"/>
        <v>124.3654033770388</v>
      </c>
      <c r="D246" s="3">
        <f t="shared" si="20"/>
        <v>3782.7810193849305</v>
      </c>
      <c r="E246" s="3">
        <f t="shared" si="21"/>
        <v>2246250.0063155005</v>
      </c>
    </row>
    <row r="247" spans="1:5" x14ac:dyDescent="0.45">
      <c r="A247" s="10">
        <f t="shared" si="22"/>
        <v>18.166666666666679</v>
      </c>
      <c r="B247" s="3">
        <f t="shared" si="23"/>
        <v>218.00000000000014</v>
      </c>
      <c r="C247" s="3">
        <f t="shared" si="24"/>
        <v>123.96222927400437</v>
      </c>
      <c r="D247" s="3">
        <f t="shared" si="20"/>
        <v>3770.5178070842999</v>
      </c>
      <c r="E247" s="3">
        <f t="shared" si="21"/>
        <v>2250020.5241225846</v>
      </c>
    </row>
    <row r="248" spans="1:5" x14ac:dyDescent="0.45">
      <c r="A248" s="10">
        <f t="shared" si="22"/>
        <v>18.250000000000011</v>
      </c>
      <c r="B248" s="3">
        <f t="shared" si="23"/>
        <v>219.00000000000011</v>
      </c>
      <c r="C248" s="3">
        <f t="shared" si="24"/>
        <v>123.56219844551826</v>
      </c>
      <c r="D248" s="3">
        <f t="shared" si="20"/>
        <v>3758.3502027178474</v>
      </c>
      <c r="E248" s="3">
        <f t="shared" si="21"/>
        <v>2253778.8743253024</v>
      </c>
    </row>
    <row r="249" spans="1:5" x14ac:dyDescent="0.45">
      <c r="A249" s="10">
        <f t="shared" si="22"/>
        <v>18.333333333333343</v>
      </c>
      <c r="B249" s="3">
        <f t="shared" si="23"/>
        <v>220.00000000000011</v>
      </c>
      <c r="C249" s="3">
        <f t="shared" si="24"/>
        <v>123.16527219987356</v>
      </c>
      <c r="D249" s="3">
        <f t="shared" si="20"/>
        <v>3746.2770294128209</v>
      </c>
      <c r="E249" s="3">
        <f t="shared" si="21"/>
        <v>2257525.1513547152</v>
      </c>
    </row>
    <row r="250" spans="1:5" x14ac:dyDescent="0.45">
      <c r="A250" s="10">
        <f t="shared" si="22"/>
        <v>18.416666666666675</v>
      </c>
      <c r="B250" s="3">
        <f t="shared" si="23"/>
        <v>221.00000000000011</v>
      </c>
      <c r="C250" s="3">
        <f t="shared" si="24"/>
        <v>122.77141249467026</v>
      </c>
      <c r="D250" s="3">
        <f t="shared" si="20"/>
        <v>3734.2971300462204</v>
      </c>
      <c r="E250" s="3">
        <f t="shared" si="21"/>
        <v>2261259.4484847616</v>
      </c>
    </row>
    <row r="251" spans="1:5" x14ac:dyDescent="0.45">
      <c r="A251" s="10">
        <f t="shared" si="22"/>
        <v>18.500000000000007</v>
      </c>
      <c r="B251" s="3">
        <f t="shared" si="23"/>
        <v>222.00000000000009</v>
      </c>
      <c r="C251" s="3">
        <f t="shared" si="24"/>
        <v>122.38058192304048</v>
      </c>
      <c r="D251" s="3">
        <f t="shared" si="20"/>
        <v>3722.4093668258147</v>
      </c>
      <c r="E251" s="3">
        <f t="shared" si="21"/>
        <v>2264981.8578515872</v>
      </c>
    </row>
    <row r="252" spans="1:5" x14ac:dyDescent="0.45">
      <c r="A252" s="10">
        <f t="shared" si="22"/>
        <v>18.583333333333339</v>
      </c>
      <c r="B252" s="3">
        <f t="shared" si="23"/>
        <v>223.00000000000006</v>
      </c>
      <c r="C252" s="3">
        <f t="shared" si="24"/>
        <v>121.99274370022775</v>
      </c>
      <c r="D252" s="3">
        <f t="shared" si="20"/>
        <v>3710.6126208819273</v>
      </c>
      <c r="E252" s="3">
        <f t="shared" si="21"/>
        <v>2268692.470472469</v>
      </c>
    </row>
    <row r="253" spans="1:5" x14ac:dyDescent="0.45">
      <c r="A253" s="10">
        <f t="shared" si="22"/>
        <v>18.666666666666671</v>
      </c>
      <c r="B253" s="3">
        <f t="shared" si="23"/>
        <v>224.00000000000006</v>
      </c>
      <c r="C253" s="3">
        <f t="shared" si="24"/>
        <v>121.60786165050706</v>
      </c>
      <c r="D253" s="3">
        <f t="shared" si="20"/>
        <v>3698.9057918695898</v>
      </c>
      <c r="E253" s="3">
        <f t="shared" si="21"/>
        <v>2272391.3762643384</v>
      </c>
    </row>
    <row r="254" spans="1:5" x14ac:dyDescent="0.45">
      <c r="A254" s="10">
        <f t="shared" si="22"/>
        <v>18.750000000000004</v>
      </c>
      <c r="B254" s="3">
        <f t="shared" si="23"/>
        <v>225.00000000000006</v>
      </c>
      <c r="C254" s="3">
        <f t="shared" si="24"/>
        <v>121.22590019443861</v>
      </c>
      <c r="D254" s="3">
        <f t="shared" si="20"/>
        <v>3687.287797580841</v>
      </c>
      <c r="E254" s="3">
        <f t="shared" si="21"/>
        <v>2276078.6640619193</v>
      </c>
    </row>
    <row r="255" spans="1:5" x14ac:dyDescent="0.45">
      <c r="A255" s="10">
        <f t="shared" si="22"/>
        <v>18.833333333333336</v>
      </c>
      <c r="B255" s="3">
        <f t="shared" si="23"/>
        <v>226.00000000000003</v>
      </c>
      <c r="C255" s="3">
        <f t="shared" si="24"/>
        <v>120.84682433644164</v>
      </c>
      <c r="D255" s="3">
        <f t="shared" si="20"/>
        <v>3675.757573566767</v>
      </c>
      <c r="E255" s="3">
        <f t="shared" si="21"/>
        <v>2279754.4216354862</v>
      </c>
    </row>
    <row r="256" spans="1:5" x14ac:dyDescent="0.45">
      <c r="A256" s="10">
        <f t="shared" si="22"/>
        <v>18.916666666666668</v>
      </c>
      <c r="B256" s="3">
        <f t="shared" si="23"/>
        <v>227</v>
      </c>
      <c r="C256" s="3">
        <f t="shared" si="24"/>
        <v>120.47059965268248</v>
      </c>
      <c r="D256" s="3">
        <f t="shared" si="20"/>
        <v>3664.314072769092</v>
      </c>
      <c r="E256" s="3">
        <f t="shared" si="21"/>
        <v>2283418.7357082553</v>
      </c>
    </row>
    <row r="257" spans="1:5" x14ac:dyDescent="0.45">
      <c r="A257" s="10">
        <f t="shared" si="22"/>
        <v>19</v>
      </c>
      <c r="B257" s="3">
        <f t="shared" si="23"/>
        <v>228</v>
      </c>
      <c r="C257" s="3">
        <f t="shared" si="24"/>
        <v>120.09719227926477</v>
      </c>
      <c r="D257" s="3">
        <f t="shared" si="20"/>
        <v>3652.9562651609704</v>
      </c>
      <c r="E257" s="3">
        <f t="shared" si="21"/>
        <v>2287071.6919734161</v>
      </c>
    </row>
    <row r="258" spans="1:5" x14ac:dyDescent="0.45">
      <c r="A258" s="10">
        <f t="shared" si="22"/>
        <v>19.083333333333332</v>
      </c>
      <c r="B258" s="3">
        <f t="shared" si="23"/>
        <v>229</v>
      </c>
      <c r="C258" s="3">
        <f t="shared" si="24"/>
        <v>119.72656890071485</v>
      </c>
      <c r="D258" s="3">
        <f t="shared" si="20"/>
        <v>3641.6831373967434</v>
      </c>
      <c r="E258" s="3">
        <f t="shared" si="21"/>
        <v>2290713.375110813</v>
      </c>
    </row>
    <row r="259" spans="1:5" x14ac:dyDescent="0.45">
      <c r="A259" s="10">
        <f t="shared" si="22"/>
        <v>19.166666666666664</v>
      </c>
      <c r="B259" s="3">
        <f t="shared" si="23"/>
        <v>229.99999999999997</v>
      </c>
      <c r="C259" s="3">
        <f t="shared" si="24"/>
        <v>119.35869673875278</v>
      </c>
      <c r="D259" s="3">
        <f t="shared" si="20"/>
        <v>3630.4936924703975</v>
      </c>
      <c r="E259" s="3">
        <f t="shared" si="21"/>
        <v>2294343.8688032832</v>
      </c>
    </row>
    <row r="260" spans="1:5" x14ac:dyDescent="0.45">
      <c r="A260" s="10">
        <f t="shared" si="22"/>
        <v>19.249999999999996</v>
      </c>
      <c r="B260" s="3">
        <f t="shared" si="23"/>
        <v>230.99999999999994</v>
      </c>
      <c r="C260" s="3">
        <f t="shared" si="24"/>
        <v>118.99354354134076</v>
      </c>
      <c r="D260" s="3">
        <f t="shared" si="20"/>
        <v>3619.3869493824482</v>
      </c>
      <c r="E260" s="3">
        <f t="shared" si="21"/>
        <v>2297963.2557526655</v>
      </c>
    </row>
    <row r="261" spans="1:5" x14ac:dyDescent="0.45">
      <c r="A261" s="10">
        <f t="shared" si="22"/>
        <v>19.333333333333329</v>
      </c>
      <c r="B261" s="3">
        <f t="shared" si="23"/>
        <v>231.99999999999994</v>
      </c>
      <c r="C261" s="3">
        <f t="shared" si="24"/>
        <v>118.63107757200123</v>
      </c>
      <c r="D261" s="3">
        <f t="shared" si="20"/>
        <v>3608.3619428150378</v>
      </c>
      <c r="E261" s="3">
        <f t="shared" si="21"/>
        <v>2301571.6176954806</v>
      </c>
    </row>
    <row r="262" spans="1:5" x14ac:dyDescent="0.45">
      <c r="A262" s="10">
        <f t="shared" si="22"/>
        <v>19.416666666666661</v>
      </c>
      <c r="B262" s="3">
        <f t="shared" si="23"/>
        <v>232.99999999999994</v>
      </c>
      <c r="C262" s="3">
        <f t="shared" si="24"/>
        <v>118.27126759939691</v>
      </c>
      <c r="D262" s="3">
        <f t="shared" si="20"/>
        <v>3597.4177228149892</v>
      </c>
      <c r="E262" s="3">
        <f t="shared" si="21"/>
        <v>2305169.0354182958</v>
      </c>
    </row>
    <row r="263" spans="1:5" x14ac:dyDescent="0.45">
      <c r="A263" s="10">
        <f t="shared" si="22"/>
        <v>19.499999999999993</v>
      </c>
      <c r="B263" s="3">
        <f t="shared" si="23"/>
        <v>233.99999999999991</v>
      </c>
      <c r="C263" s="3">
        <f t="shared" si="24"/>
        <v>117.91408288716482</v>
      </c>
      <c r="D263" s="3">
        <f t="shared" si="20"/>
        <v>3586.5533544845966</v>
      </c>
      <c r="E263" s="3">
        <f t="shared" si="21"/>
        <v>2308755.5887727803</v>
      </c>
    </row>
    <row r="264" spans="1:5" x14ac:dyDescent="0.45">
      <c r="A264" s="10">
        <f t="shared" si="22"/>
        <v>19.583333333333325</v>
      </c>
      <c r="B264" s="3">
        <f t="shared" si="23"/>
        <v>234.99999999999989</v>
      </c>
      <c r="C264" s="3">
        <f t="shared" si="24"/>
        <v>117.55949318399739</v>
      </c>
      <c r="D264" s="3">
        <f t="shared" si="20"/>
        <v>3575.7679176799206</v>
      </c>
      <c r="E264" s="3">
        <f t="shared" si="21"/>
        <v>2312331.3566904604</v>
      </c>
    </row>
    <row r="265" spans="1:5" x14ac:dyDescent="0.45">
      <c r="A265" s="10">
        <f t="shared" si="22"/>
        <v>19.666666666666657</v>
      </c>
      <c r="B265" s="3">
        <f t="shared" si="23"/>
        <v>235.99999999999989</v>
      </c>
      <c r="C265" s="3">
        <f t="shared" si="24"/>
        <v>117.20746871396356</v>
      </c>
      <c r="D265" s="3">
        <f t="shared" si="20"/>
        <v>3565.060506716392</v>
      </c>
      <c r="E265" s="3">
        <f t="shared" si="21"/>
        <v>2315896.4171971767</v>
      </c>
    </row>
    <row r="266" spans="1:5" x14ac:dyDescent="0.45">
      <c r="A266" s="10">
        <f t="shared" si="22"/>
        <v>19.749999999999989</v>
      </c>
      <c r="B266" s="3">
        <f t="shared" si="23"/>
        <v>236.99999999999989</v>
      </c>
      <c r="C266" s="3">
        <f t="shared" si="24"/>
        <v>116.85798016706319</v>
      </c>
      <c r="D266" s="3">
        <f t="shared" si="20"/>
        <v>3554.4302300815057</v>
      </c>
      <c r="E266" s="3">
        <f t="shared" si="21"/>
        <v>2319450.8474272583</v>
      </c>
    </row>
    <row r="267" spans="1:5" x14ac:dyDescent="0.45">
      <c r="A267" s="10">
        <f t="shared" si="22"/>
        <v>19.833333333333321</v>
      </c>
      <c r="B267" s="3">
        <f t="shared" si="23"/>
        <v>237.99999999999986</v>
      </c>
      <c r="C267" s="3">
        <f t="shared" si="24"/>
        <v>116.5109986900079</v>
      </c>
      <c r="D267" s="3">
        <f t="shared" si="20"/>
        <v>3543.8762101544071</v>
      </c>
      <c r="E267" s="3">
        <f t="shared" si="21"/>
        <v>2322994.7236374128</v>
      </c>
    </row>
    <row r="268" spans="1:5" x14ac:dyDescent="0.45">
      <c r="A268" s="10">
        <f t="shared" si="22"/>
        <v>19.916666666666654</v>
      </c>
      <c r="B268" s="3">
        <f t="shared" si="23"/>
        <v>238.99999999999983</v>
      </c>
      <c r="C268" s="3">
        <f t="shared" si="24"/>
        <v>116.16649587722206</v>
      </c>
      <c r="D268" s="3">
        <f t="shared" si="20"/>
        <v>3533.3975829321712</v>
      </c>
      <c r="E268" s="3">
        <f t="shared" si="21"/>
        <v>2326528.1212203451</v>
      </c>
    </row>
    <row r="269" spans="1:5" x14ac:dyDescent="0.45">
      <c r="A269" s="10">
        <f t="shared" si="22"/>
        <v>19.999999999999986</v>
      </c>
      <c r="B269" s="3">
        <f t="shared" si="23"/>
        <v>239.99999999999983</v>
      </c>
      <c r="C269" s="3">
        <f t="shared" si="24"/>
        <v>115.82444376205842</v>
      </c>
      <c r="D269" s="3">
        <f t="shared" si="20"/>
        <v>3522.9934977626103</v>
      </c>
      <c r="E269" s="3">
        <f t="shared" si="21"/>
        <v>2330051.114718108</v>
      </c>
    </row>
    <row r="270" spans="1:5" x14ac:dyDescent="0.45">
      <c r="A270" s="10"/>
      <c r="B270" s="10"/>
      <c r="C270" s="10"/>
      <c r="D270" s="10"/>
      <c r="E270" s="10"/>
    </row>
    <row r="271" spans="1:5" x14ac:dyDescent="0.45">
      <c r="A271" s="10"/>
      <c r="B271" s="10"/>
      <c r="C271" s="10"/>
      <c r="D271" s="10"/>
      <c r="E271" s="10"/>
    </row>
    <row r="272" spans="1:5" x14ac:dyDescent="0.45">
      <c r="A272" s="10"/>
      <c r="B272" s="10"/>
      <c r="C272" s="10"/>
      <c r="D272" s="10"/>
      <c r="E272" s="10"/>
    </row>
    <row r="273" spans="1:5" x14ac:dyDescent="0.45">
      <c r="A273" s="10"/>
      <c r="B273" s="10"/>
      <c r="C273" s="10"/>
      <c r="D273" s="10"/>
      <c r="E273" s="10"/>
    </row>
    <row r="274" spans="1:5" x14ac:dyDescent="0.45">
      <c r="A274" s="10"/>
      <c r="B274" s="10"/>
      <c r="C274" s="10"/>
      <c r="D274" s="10"/>
      <c r="E274" s="10"/>
    </row>
    <row r="275" spans="1:5" x14ac:dyDescent="0.45">
      <c r="A275" s="10"/>
      <c r="B275" s="10"/>
      <c r="C275" s="10"/>
      <c r="D275" s="10"/>
      <c r="E275" s="10"/>
    </row>
    <row r="276" spans="1:5" x14ac:dyDescent="0.45">
      <c r="A276" s="10"/>
      <c r="B276" s="10"/>
      <c r="C276" s="10"/>
      <c r="D276" s="10"/>
      <c r="E276" s="10"/>
    </row>
    <row r="277" spans="1:5" x14ac:dyDescent="0.45">
      <c r="A277" s="10"/>
      <c r="B277" s="10"/>
      <c r="C277" s="10"/>
      <c r="D277" s="10"/>
      <c r="E277" s="10"/>
    </row>
    <row r="278" spans="1:5" x14ac:dyDescent="0.45">
      <c r="A278" s="10"/>
      <c r="B278" s="10"/>
      <c r="C278" s="10"/>
      <c r="D278" s="10"/>
      <c r="E278" s="10"/>
    </row>
    <row r="279" spans="1:5" x14ac:dyDescent="0.45">
      <c r="A279" s="10"/>
      <c r="B279" s="10"/>
      <c r="C279" s="10"/>
      <c r="D279" s="10"/>
      <c r="E279" s="10"/>
    </row>
    <row r="280" spans="1:5" x14ac:dyDescent="0.45">
      <c r="A280" s="10"/>
      <c r="B280" s="10"/>
      <c r="C280" s="10"/>
      <c r="D280" s="10"/>
      <c r="E280" s="10"/>
    </row>
    <row r="281" spans="1:5" x14ac:dyDescent="0.45">
      <c r="A281" s="10"/>
      <c r="B281" s="10"/>
      <c r="C281" s="10"/>
      <c r="D281" s="10"/>
      <c r="E281" s="10"/>
    </row>
    <row r="282" spans="1:5" x14ac:dyDescent="0.45">
      <c r="A282" s="10"/>
      <c r="B282" s="10"/>
      <c r="C282" s="10"/>
      <c r="D282" s="10"/>
      <c r="E282" s="10"/>
    </row>
    <row r="283" spans="1:5" x14ac:dyDescent="0.45">
      <c r="A283" s="10"/>
      <c r="B283" s="10"/>
      <c r="C283" s="10"/>
      <c r="D283" s="10"/>
      <c r="E283" s="10"/>
    </row>
    <row r="284" spans="1:5" x14ac:dyDescent="0.45">
      <c r="A284" s="10"/>
      <c r="B284" s="10"/>
      <c r="C284" s="10"/>
      <c r="D284" s="10"/>
      <c r="E284" s="10"/>
    </row>
    <row r="285" spans="1:5" x14ac:dyDescent="0.45">
      <c r="A285" s="10"/>
      <c r="B285" s="10"/>
      <c r="C285" s="10"/>
      <c r="D285" s="10"/>
      <c r="E285" s="10"/>
    </row>
    <row r="286" spans="1:5" x14ac:dyDescent="0.45">
      <c r="A286" s="10"/>
      <c r="B286" s="10"/>
      <c r="C286" s="10"/>
      <c r="D286" s="10"/>
      <c r="E286" s="10"/>
    </row>
    <row r="287" spans="1:5" x14ac:dyDescent="0.45">
      <c r="A287" s="10"/>
      <c r="B287" s="10"/>
      <c r="C287" s="10"/>
      <c r="D287" s="10"/>
      <c r="E287" s="10"/>
    </row>
    <row r="288" spans="1:5" x14ac:dyDescent="0.45">
      <c r="A288" s="10"/>
      <c r="B288" s="10"/>
      <c r="C288" s="10"/>
      <c r="D288" s="10"/>
      <c r="E288" s="10"/>
    </row>
    <row r="289" spans="1:5" x14ac:dyDescent="0.45">
      <c r="A289" s="10"/>
      <c r="B289" s="10"/>
      <c r="C289" s="10"/>
      <c r="D289" s="10"/>
      <c r="E289" s="10"/>
    </row>
    <row r="290" spans="1:5" x14ac:dyDescent="0.45">
      <c r="A290" s="10"/>
      <c r="B290" s="10"/>
      <c r="C290" s="10"/>
      <c r="D290" s="10"/>
      <c r="E290" s="10"/>
    </row>
    <row r="291" spans="1:5" x14ac:dyDescent="0.45">
      <c r="A291" s="10"/>
      <c r="B291" s="10"/>
      <c r="C291" s="10"/>
      <c r="D291" s="10"/>
      <c r="E291" s="10"/>
    </row>
    <row r="292" spans="1:5" x14ac:dyDescent="0.45">
      <c r="A292" s="10"/>
      <c r="B292" s="10"/>
      <c r="C292" s="10"/>
      <c r="D292" s="10"/>
      <c r="E292" s="10"/>
    </row>
    <row r="293" spans="1:5" x14ac:dyDescent="0.45">
      <c r="A293" s="10"/>
      <c r="B293" s="10"/>
      <c r="C293" s="10"/>
      <c r="D293" s="10"/>
      <c r="E293" s="10"/>
    </row>
    <row r="294" spans="1:5" x14ac:dyDescent="0.45">
      <c r="A294" s="10"/>
      <c r="B294" s="10"/>
      <c r="C294" s="10"/>
      <c r="D294" s="10"/>
      <c r="E294" s="10"/>
    </row>
    <row r="295" spans="1:5" x14ac:dyDescent="0.45">
      <c r="A295" s="10"/>
      <c r="B295" s="10"/>
      <c r="C295" s="10"/>
      <c r="D295" s="10"/>
      <c r="E295" s="10"/>
    </row>
    <row r="296" spans="1:5" x14ac:dyDescent="0.45">
      <c r="A296" s="10"/>
      <c r="B296" s="10"/>
      <c r="C296" s="10"/>
      <c r="D296" s="10"/>
      <c r="E296" s="10"/>
    </row>
    <row r="297" spans="1:5" x14ac:dyDescent="0.45">
      <c r="A297" s="10"/>
      <c r="B297" s="10"/>
      <c r="C297" s="10"/>
      <c r="D297" s="10"/>
      <c r="E297" s="10"/>
    </row>
    <row r="298" spans="1:5" x14ac:dyDescent="0.45">
      <c r="A298" s="10"/>
      <c r="B298" s="10"/>
      <c r="C298" s="10"/>
      <c r="D298" s="10"/>
      <c r="E298" s="10"/>
    </row>
    <row r="299" spans="1:5" x14ac:dyDescent="0.45">
      <c r="A299" s="10"/>
      <c r="B299" s="10"/>
      <c r="C299" s="10"/>
      <c r="D299" s="10"/>
      <c r="E299" s="10"/>
    </row>
    <row r="300" spans="1:5" x14ac:dyDescent="0.45">
      <c r="A300" s="10"/>
      <c r="B300" s="10"/>
      <c r="C300" s="10"/>
      <c r="D300" s="10"/>
      <c r="E300" s="10"/>
    </row>
    <row r="301" spans="1:5" x14ac:dyDescent="0.45">
      <c r="A301" s="10"/>
      <c r="B301" s="10"/>
      <c r="C301" s="10"/>
      <c r="D301" s="10"/>
      <c r="E301" s="10"/>
    </row>
    <row r="302" spans="1:5" x14ac:dyDescent="0.45">
      <c r="A302" s="10"/>
      <c r="B302" s="10"/>
      <c r="C302" s="10"/>
      <c r="D302" s="10"/>
      <c r="E302" s="10"/>
    </row>
    <row r="303" spans="1:5" x14ac:dyDescent="0.45">
      <c r="A303" s="10"/>
      <c r="B303" s="10"/>
      <c r="C303" s="10"/>
      <c r="D303" s="10"/>
      <c r="E303" s="10"/>
    </row>
    <row r="304" spans="1:5" x14ac:dyDescent="0.45">
      <c r="A304" s="10"/>
      <c r="B304" s="10"/>
      <c r="C304" s="10"/>
      <c r="D304" s="10"/>
      <c r="E304" s="10"/>
    </row>
    <row r="305" spans="1:5" x14ac:dyDescent="0.45">
      <c r="A305" s="10"/>
      <c r="B305" s="10"/>
      <c r="C305" s="10"/>
      <c r="D305" s="10"/>
      <c r="E305" s="10"/>
    </row>
    <row r="306" spans="1:5" x14ac:dyDescent="0.45">
      <c r="A306" s="10"/>
      <c r="B306" s="10"/>
      <c r="C306" s="10"/>
      <c r="D306" s="10"/>
      <c r="E306" s="10"/>
    </row>
    <row r="307" spans="1:5" x14ac:dyDescent="0.45">
      <c r="A307" s="10"/>
      <c r="B307" s="10"/>
      <c r="C307" s="10"/>
      <c r="D307" s="10"/>
      <c r="E307" s="10"/>
    </row>
    <row r="308" spans="1:5" x14ac:dyDescent="0.45">
      <c r="A308" s="10"/>
      <c r="B308" s="10"/>
      <c r="C308" s="10"/>
      <c r="D308" s="10"/>
      <c r="E308" s="10"/>
    </row>
    <row r="309" spans="1:5" x14ac:dyDescent="0.45">
      <c r="A309" s="10"/>
      <c r="B309" s="10"/>
      <c r="C309" s="10"/>
      <c r="D309" s="10"/>
      <c r="E309" s="10"/>
    </row>
    <row r="310" spans="1:5" x14ac:dyDescent="0.45">
      <c r="A310" s="10"/>
      <c r="B310" s="10"/>
      <c r="C310" s="10"/>
      <c r="D310" s="10"/>
      <c r="E310" s="10"/>
    </row>
    <row r="311" spans="1:5" x14ac:dyDescent="0.45">
      <c r="A311" s="10"/>
      <c r="B311" s="10"/>
      <c r="C311" s="10"/>
      <c r="D311" s="10"/>
      <c r="E311" s="10"/>
    </row>
    <row r="312" spans="1:5" x14ac:dyDescent="0.45">
      <c r="A312" s="10"/>
      <c r="B312" s="10"/>
      <c r="C312" s="10"/>
      <c r="D312" s="10"/>
      <c r="E312" s="10"/>
    </row>
    <row r="313" spans="1:5" x14ac:dyDescent="0.45">
      <c r="A313" s="10"/>
      <c r="B313" s="10"/>
      <c r="C313" s="10"/>
      <c r="D313" s="10"/>
      <c r="E313" s="10"/>
    </row>
    <row r="314" spans="1:5" x14ac:dyDescent="0.45">
      <c r="A314" s="10"/>
      <c r="B314" s="10"/>
      <c r="C314" s="10"/>
      <c r="D314" s="10"/>
      <c r="E314" s="10"/>
    </row>
    <row r="315" spans="1:5" x14ac:dyDescent="0.45">
      <c r="A315" s="10"/>
      <c r="B315" s="10"/>
      <c r="C315" s="10"/>
      <c r="D315" s="10"/>
      <c r="E315" s="10"/>
    </row>
    <row r="316" spans="1:5" x14ac:dyDescent="0.45">
      <c r="A316" s="10"/>
      <c r="B316" s="10"/>
      <c r="C316" s="10"/>
      <c r="D316" s="10"/>
      <c r="E316" s="10"/>
    </row>
    <row r="317" spans="1:5" x14ac:dyDescent="0.45">
      <c r="A317" s="10"/>
      <c r="B317" s="10"/>
      <c r="C317" s="10"/>
      <c r="D317" s="10"/>
      <c r="E317" s="10"/>
    </row>
    <row r="318" spans="1:5" x14ac:dyDescent="0.45">
      <c r="A318" s="10"/>
      <c r="B318" s="10"/>
      <c r="C318" s="10"/>
      <c r="D318" s="10"/>
      <c r="E318" s="10"/>
    </row>
    <row r="319" spans="1:5" x14ac:dyDescent="0.45">
      <c r="A319" s="10"/>
      <c r="B319" s="10"/>
      <c r="C319" s="10"/>
      <c r="D319" s="10"/>
      <c r="E319" s="10"/>
    </row>
    <row r="320" spans="1:5" x14ac:dyDescent="0.45">
      <c r="A320" s="10"/>
      <c r="B320" s="10"/>
      <c r="C320" s="10"/>
      <c r="D320" s="10"/>
      <c r="E320" s="10"/>
    </row>
    <row r="321" spans="1:5" x14ac:dyDescent="0.45">
      <c r="A321" s="10"/>
      <c r="B321" s="10"/>
      <c r="C321" s="10"/>
      <c r="D321" s="10"/>
      <c r="E321" s="10"/>
    </row>
    <row r="322" spans="1:5" x14ac:dyDescent="0.45">
      <c r="A322" s="10"/>
      <c r="B322" s="10"/>
      <c r="C322" s="10"/>
      <c r="D322" s="10"/>
      <c r="E322" s="10"/>
    </row>
    <row r="323" spans="1:5" x14ac:dyDescent="0.45">
      <c r="A323" s="10"/>
      <c r="B323" s="10"/>
      <c r="C323" s="10"/>
      <c r="D323" s="10"/>
      <c r="E323" s="10"/>
    </row>
    <row r="324" spans="1:5" x14ac:dyDescent="0.45">
      <c r="A324" s="10"/>
      <c r="B324" s="10"/>
      <c r="C324" s="10"/>
      <c r="D324" s="10"/>
      <c r="E324" s="10"/>
    </row>
    <row r="325" spans="1:5" x14ac:dyDescent="0.45">
      <c r="A325" s="10"/>
      <c r="B325" s="10"/>
      <c r="C325" s="10"/>
      <c r="D325" s="10"/>
      <c r="E325" s="10"/>
    </row>
    <row r="326" spans="1:5" x14ac:dyDescent="0.45">
      <c r="A326" s="10"/>
      <c r="B326" s="10"/>
      <c r="C326" s="10"/>
      <c r="D326" s="10"/>
      <c r="E326" s="10"/>
    </row>
    <row r="327" spans="1:5" x14ac:dyDescent="0.45">
      <c r="A327" s="10"/>
      <c r="B327" s="10"/>
      <c r="C327" s="10"/>
      <c r="D327" s="10"/>
      <c r="E327" s="10"/>
    </row>
    <row r="328" spans="1:5" x14ac:dyDescent="0.45">
      <c r="A328" s="10"/>
      <c r="B328" s="10"/>
      <c r="C328" s="10"/>
      <c r="D328" s="10"/>
      <c r="E328" s="10"/>
    </row>
    <row r="329" spans="1:5" x14ac:dyDescent="0.45">
      <c r="A329" s="10"/>
      <c r="B329" s="10"/>
      <c r="C329" s="10"/>
      <c r="D329" s="10"/>
      <c r="E329" s="10"/>
    </row>
    <row r="330" spans="1:5" x14ac:dyDescent="0.45">
      <c r="A330" s="10"/>
      <c r="B330" s="10"/>
      <c r="C330" s="10"/>
      <c r="D330" s="10"/>
      <c r="E330" s="10"/>
    </row>
    <row r="331" spans="1:5" x14ac:dyDescent="0.45">
      <c r="A331" s="10"/>
      <c r="B331" s="10"/>
      <c r="C331" s="10"/>
      <c r="D331" s="10"/>
      <c r="E331" s="10"/>
    </row>
    <row r="332" spans="1:5" x14ac:dyDescent="0.45">
      <c r="A332" s="10"/>
      <c r="B332" s="10"/>
      <c r="C332" s="10"/>
      <c r="D332" s="10"/>
      <c r="E332" s="10"/>
    </row>
    <row r="333" spans="1:5" x14ac:dyDescent="0.45">
      <c r="A333" s="10"/>
      <c r="B333" s="10"/>
      <c r="C333" s="10"/>
      <c r="D333" s="10"/>
      <c r="E333" s="10"/>
    </row>
    <row r="334" spans="1:5" x14ac:dyDescent="0.45">
      <c r="A334" s="10"/>
      <c r="B334" s="10"/>
      <c r="C334" s="10"/>
      <c r="D334" s="10"/>
      <c r="E334" s="10"/>
    </row>
    <row r="335" spans="1:5" x14ac:dyDescent="0.45">
      <c r="A335" s="10"/>
      <c r="B335" s="10"/>
      <c r="C335" s="10"/>
      <c r="D335" s="10"/>
      <c r="E335" s="10"/>
    </row>
    <row r="336" spans="1:5" x14ac:dyDescent="0.45">
      <c r="A336" s="10"/>
      <c r="B336" s="10"/>
      <c r="C336" s="10"/>
      <c r="D336" s="10"/>
      <c r="E336" s="10"/>
    </row>
    <row r="337" spans="1:5" x14ac:dyDescent="0.45">
      <c r="A337" s="10"/>
      <c r="B337" s="10"/>
      <c r="C337" s="10"/>
      <c r="D337" s="10"/>
      <c r="E337" s="10"/>
    </row>
    <row r="338" spans="1:5" x14ac:dyDescent="0.45">
      <c r="A338" s="10"/>
      <c r="B338" s="10"/>
      <c r="C338" s="10"/>
      <c r="D338" s="10"/>
      <c r="E338" s="10"/>
    </row>
    <row r="339" spans="1:5" x14ac:dyDescent="0.45">
      <c r="A339" s="10"/>
      <c r="B339" s="10"/>
      <c r="C339" s="10"/>
      <c r="D339" s="10"/>
      <c r="E339" s="10"/>
    </row>
    <row r="340" spans="1:5" x14ac:dyDescent="0.45">
      <c r="A340" s="10"/>
      <c r="B340" s="10"/>
      <c r="C340" s="10"/>
      <c r="D340" s="10"/>
      <c r="E340" s="10"/>
    </row>
    <row r="341" spans="1:5" x14ac:dyDescent="0.45">
      <c r="A341" s="10"/>
      <c r="B341" s="10"/>
      <c r="C341" s="10"/>
      <c r="D341" s="10"/>
      <c r="E341" s="10"/>
    </row>
    <row r="342" spans="1:5" x14ac:dyDescent="0.45">
      <c r="A342" s="10"/>
      <c r="B342" s="10"/>
      <c r="C342" s="10"/>
      <c r="D342" s="10"/>
      <c r="E342" s="10"/>
    </row>
    <row r="343" spans="1:5" x14ac:dyDescent="0.45">
      <c r="A343" s="10"/>
      <c r="B343" s="10"/>
      <c r="C343" s="10"/>
      <c r="D343" s="10"/>
      <c r="E343" s="10"/>
    </row>
    <row r="344" spans="1:5" x14ac:dyDescent="0.45">
      <c r="A344" s="10"/>
      <c r="B344" s="10"/>
      <c r="C344" s="10"/>
      <c r="D344" s="10"/>
      <c r="E344" s="10"/>
    </row>
    <row r="345" spans="1:5" x14ac:dyDescent="0.45">
      <c r="A345" s="10"/>
      <c r="B345" s="10"/>
      <c r="C345" s="10"/>
      <c r="D345" s="10"/>
      <c r="E345" s="10"/>
    </row>
    <row r="346" spans="1:5" x14ac:dyDescent="0.45">
      <c r="A346" s="10"/>
      <c r="B346" s="10"/>
      <c r="C346" s="10"/>
      <c r="D346" s="10"/>
      <c r="E346" s="10"/>
    </row>
    <row r="347" spans="1:5" x14ac:dyDescent="0.45">
      <c r="A347" s="10"/>
      <c r="B347" s="10"/>
      <c r="C347" s="10"/>
      <c r="D347" s="10"/>
      <c r="E347" s="10"/>
    </row>
    <row r="348" spans="1:5" x14ac:dyDescent="0.45">
      <c r="A348" s="10"/>
      <c r="B348" s="10"/>
      <c r="C348" s="10"/>
      <c r="D348" s="10"/>
      <c r="E348" s="10"/>
    </row>
    <row r="349" spans="1:5" x14ac:dyDescent="0.45">
      <c r="A349" s="10"/>
      <c r="B349" s="10"/>
      <c r="C349" s="10"/>
      <c r="D349" s="10"/>
      <c r="E349" s="10"/>
    </row>
    <row r="350" spans="1:5" x14ac:dyDescent="0.45">
      <c r="A350" s="10"/>
      <c r="B350" s="10"/>
      <c r="C350" s="10"/>
      <c r="D350" s="10"/>
      <c r="E350" s="10"/>
    </row>
    <row r="351" spans="1:5" x14ac:dyDescent="0.45">
      <c r="A351" s="10"/>
      <c r="B351" s="10"/>
      <c r="C351" s="10"/>
      <c r="D351" s="10"/>
      <c r="E351" s="10"/>
    </row>
    <row r="352" spans="1:5" x14ac:dyDescent="0.45">
      <c r="A352" s="10"/>
      <c r="B352" s="10"/>
      <c r="C352" s="10"/>
      <c r="D352" s="10"/>
      <c r="E352" s="10"/>
    </row>
    <row r="353" spans="1:5" x14ac:dyDescent="0.45">
      <c r="A353" s="10"/>
      <c r="B353" s="10"/>
      <c r="C353" s="10"/>
      <c r="D353" s="10"/>
      <c r="E353" s="10"/>
    </row>
    <row r="354" spans="1:5" x14ac:dyDescent="0.45">
      <c r="A354" s="10"/>
      <c r="B354" s="10"/>
      <c r="C354" s="10"/>
      <c r="D354" s="10"/>
      <c r="E354" s="10"/>
    </row>
    <row r="355" spans="1:5" x14ac:dyDescent="0.45">
      <c r="A355" s="10"/>
      <c r="B355" s="10"/>
      <c r="C355" s="10"/>
      <c r="D355" s="10"/>
      <c r="E355" s="10"/>
    </row>
    <row r="356" spans="1:5" x14ac:dyDescent="0.45">
      <c r="A356" s="10"/>
      <c r="B356" s="10"/>
      <c r="C356" s="10"/>
      <c r="D356" s="10"/>
      <c r="E356" s="10"/>
    </row>
    <row r="357" spans="1:5" x14ac:dyDescent="0.45">
      <c r="A357" s="10"/>
      <c r="B357" s="10"/>
      <c r="C357" s="10"/>
      <c r="D357" s="10"/>
      <c r="E357" s="10"/>
    </row>
    <row r="358" spans="1:5" x14ac:dyDescent="0.45">
      <c r="A358" s="10"/>
      <c r="B358" s="10"/>
      <c r="C358" s="10"/>
      <c r="D358" s="10"/>
      <c r="E358" s="10"/>
    </row>
    <row r="359" spans="1:5" x14ac:dyDescent="0.45">
      <c r="A359" s="10"/>
      <c r="B359" s="10"/>
      <c r="C359" s="10"/>
      <c r="D359" s="10"/>
      <c r="E359" s="10"/>
    </row>
    <row r="360" spans="1:5" x14ac:dyDescent="0.45">
      <c r="A360" s="10"/>
      <c r="B360" s="10"/>
      <c r="C360" s="10"/>
      <c r="D360" s="10"/>
      <c r="E360" s="10"/>
    </row>
    <row r="361" spans="1:5" x14ac:dyDescent="0.45">
      <c r="A361" s="10"/>
      <c r="B361" s="10"/>
      <c r="C361" s="10"/>
      <c r="D361" s="10"/>
      <c r="E361" s="10"/>
    </row>
    <row r="362" spans="1:5" x14ac:dyDescent="0.45">
      <c r="A362" s="10"/>
      <c r="B362" s="10"/>
      <c r="C362" s="10"/>
      <c r="D362" s="10"/>
      <c r="E362" s="10"/>
    </row>
    <row r="363" spans="1:5" x14ac:dyDescent="0.45">
      <c r="A363" s="10"/>
      <c r="B363" s="10"/>
      <c r="C363" s="10"/>
      <c r="D363" s="10"/>
      <c r="E363" s="10"/>
    </row>
    <row r="364" spans="1:5" x14ac:dyDescent="0.45">
      <c r="A364" s="10"/>
      <c r="B364" s="10"/>
      <c r="C364" s="10"/>
      <c r="D364" s="10"/>
      <c r="E364" s="10"/>
    </row>
    <row r="365" spans="1:5" x14ac:dyDescent="0.45">
      <c r="A365" s="10"/>
      <c r="B365" s="10"/>
      <c r="C365" s="10"/>
      <c r="D365" s="10"/>
      <c r="E365" s="10"/>
    </row>
    <row r="366" spans="1:5" x14ac:dyDescent="0.45">
      <c r="A366" s="10"/>
      <c r="B366" s="10"/>
      <c r="C366" s="10"/>
      <c r="D366" s="10"/>
      <c r="E366" s="10"/>
    </row>
    <row r="367" spans="1:5" x14ac:dyDescent="0.45">
      <c r="A367" s="10"/>
      <c r="B367" s="10"/>
      <c r="C367" s="10"/>
      <c r="D367" s="10"/>
      <c r="E367" s="10"/>
    </row>
    <row r="368" spans="1:5" x14ac:dyDescent="0.45">
      <c r="A368" s="10"/>
      <c r="B368" s="10"/>
      <c r="C368" s="10"/>
      <c r="D368" s="10"/>
      <c r="E368" s="10"/>
    </row>
    <row r="369" spans="1:5" x14ac:dyDescent="0.45">
      <c r="A369" s="10"/>
      <c r="B369" s="10"/>
      <c r="C369" s="10"/>
      <c r="D369" s="10"/>
      <c r="E369" s="10"/>
    </row>
    <row r="370" spans="1:5" x14ac:dyDescent="0.45">
      <c r="A370" s="10"/>
      <c r="B370" s="10"/>
      <c r="C370" s="10"/>
      <c r="D370" s="10"/>
      <c r="E370" s="10"/>
    </row>
    <row r="371" spans="1:5" x14ac:dyDescent="0.45">
      <c r="A371" s="10"/>
      <c r="B371" s="10"/>
      <c r="C371" s="10"/>
      <c r="D371" s="10"/>
      <c r="E371" s="10"/>
    </row>
    <row r="372" spans="1:5" x14ac:dyDescent="0.45">
      <c r="A372" s="10"/>
      <c r="B372" s="10"/>
      <c r="C372" s="10"/>
      <c r="D372" s="10"/>
      <c r="E372" s="10"/>
    </row>
    <row r="373" spans="1:5" x14ac:dyDescent="0.45">
      <c r="A373" s="10"/>
      <c r="B373" s="10"/>
      <c r="C373" s="10"/>
      <c r="D373" s="10"/>
      <c r="E373" s="10"/>
    </row>
    <row r="374" spans="1:5" x14ac:dyDescent="0.45">
      <c r="A374" s="10"/>
      <c r="B374" s="10"/>
      <c r="C374" s="10"/>
      <c r="D374" s="10"/>
      <c r="E374" s="10"/>
    </row>
    <row r="375" spans="1:5" x14ac:dyDescent="0.45">
      <c r="A375" s="10"/>
      <c r="B375" s="10"/>
      <c r="C375" s="10"/>
      <c r="D375" s="10"/>
      <c r="E375" s="10"/>
    </row>
    <row r="376" spans="1:5" x14ac:dyDescent="0.45">
      <c r="A376" s="10"/>
      <c r="B376" s="10"/>
      <c r="C376" s="10"/>
      <c r="D376" s="10"/>
      <c r="E376" s="10"/>
    </row>
    <row r="377" spans="1:5" x14ac:dyDescent="0.45">
      <c r="A377" s="10"/>
      <c r="B377" s="10"/>
      <c r="C377" s="10"/>
      <c r="D377" s="10"/>
      <c r="E377" s="10"/>
    </row>
    <row r="378" spans="1:5" x14ac:dyDescent="0.45">
      <c r="A378" s="10"/>
      <c r="B378" s="10"/>
      <c r="C378" s="10"/>
      <c r="D378" s="10"/>
      <c r="E378" s="10"/>
    </row>
    <row r="379" spans="1:5" x14ac:dyDescent="0.45">
      <c r="A379" s="10"/>
      <c r="B379" s="10"/>
      <c r="C379" s="10"/>
      <c r="D379" s="10"/>
      <c r="E379" s="10"/>
    </row>
    <row r="380" spans="1:5" x14ac:dyDescent="0.45">
      <c r="A380" s="10"/>
      <c r="B380" s="10"/>
      <c r="C380" s="10"/>
      <c r="D380" s="10"/>
      <c r="E380" s="10"/>
    </row>
    <row r="381" spans="1:5" x14ac:dyDescent="0.45">
      <c r="A381" s="10"/>
      <c r="B381" s="10"/>
      <c r="C381" s="10"/>
      <c r="D381" s="10"/>
      <c r="E381" s="10"/>
    </row>
    <row r="382" spans="1:5" x14ac:dyDescent="0.45">
      <c r="A382" s="10"/>
      <c r="B382" s="10"/>
      <c r="C382" s="10"/>
      <c r="D382" s="10"/>
      <c r="E382" s="10"/>
    </row>
    <row r="383" spans="1:5" x14ac:dyDescent="0.45">
      <c r="A383" s="10"/>
      <c r="B383" s="10"/>
      <c r="C383" s="10"/>
      <c r="D383" s="10"/>
      <c r="E383" s="10"/>
    </row>
    <row r="384" spans="1:5" x14ac:dyDescent="0.45">
      <c r="A384" s="10"/>
      <c r="B384" s="10"/>
      <c r="C384" s="10"/>
      <c r="D384" s="10"/>
      <c r="E384" s="10"/>
    </row>
    <row r="385" spans="1:5" x14ac:dyDescent="0.45">
      <c r="A385" s="10"/>
      <c r="B385" s="10"/>
      <c r="C385" s="10"/>
      <c r="D385" s="10"/>
      <c r="E385" s="10"/>
    </row>
    <row r="386" spans="1:5" x14ac:dyDescent="0.45">
      <c r="A386" s="10"/>
      <c r="B386" s="10"/>
      <c r="C386" s="10"/>
      <c r="D386" s="10"/>
      <c r="E386" s="10"/>
    </row>
    <row r="387" spans="1:5" x14ac:dyDescent="0.45">
      <c r="A387" s="10"/>
      <c r="B387" s="10"/>
      <c r="C387" s="10"/>
      <c r="D387" s="10"/>
      <c r="E387" s="10"/>
    </row>
    <row r="388" spans="1:5" x14ac:dyDescent="0.45">
      <c r="A388" s="10"/>
      <c r="B388" s="10"/>
      <c r="C388" s="10"/>
      <c r="D388" s="10"/>
      <c r="E388" s="10"/>
    </row>
    <row r="389" spans="1:5" x14ac:dyDescent="0.45">
      <c r="A389" s="10"/>
      <c r="B389" s="10"/>
      <c r="C389" s="10"/>
      <c r="D389" s="10"/>
      <c r="E389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661D-E305-4D23-8869-7F442B8DE534}">
  <sheetPr codeName="Sheet18"/>
  <dimension ref="A1:CW382"/>
  <sheetViews>
    <sheetView topLeftCell="A10" workbookViewId="0">
      <selection activeCell="A7" sqref="A7"/>
    </sheetView>
  </sheetViews>
  <sheetFormatPr defaultColWidth="11.84375" defaultRowHeight="15.9" x14ac:dyDescent="0.45"/>
  <cols>
    <col min="1" max="1" width="21.53515625" style="1" bestFit="1" customWidth="1"/>
    <col min="2" max="2" width="13.84375" style="1" bestFit="1" customWidth="1"/>
    <col min="3" max="3" width="22.765625" style="1" bestFit="1" customWidth="1"/>
    <col min="4" max="4" width="25.69140625" style="1" bestFit="1" customWidth="1"/>
    <col min="5" max="5" width="27.3046875" style="1" bestFit="1" customWidth="1"/>
    <col min="6" max="6" width="25.3046875" style="1" bestFit="1" customWidth="1"/>
    <col min="7" max="16384" width="11.84375" style="1"/>
  </cols>
  <sheetData>
    <row r="1" spans="1:101" x14ac:dyDescent="0.45">
      <c r="A1" s="6" t="s">
        <v>17</v>
      </c>
      <c r="C1" s="5"/>
      <c r="D1" s="5"/>
    </row>
    <row r="2" spans="1:101" ht="16.3" thickBot="1" x14ac:dyDescent="0.5">
      <c r="C2" s="10"/>
      <c r="D2" s="10"/>
      <c r="F2" s="1" t="s">
        <v>9</v>
      </c>
      <c r="G2" s="7" t="s">
        <v>8</v>
      </c>
      <c r="H2" s="7">
        <v>0.52173913043478304</v>
      </c>
      <c r="I2" s="7">
        <v>0.92517694641051296</v>
      </c>
      <c r="J2" s="7">
        <v>1.4742163801819901</v>
      </c>
      <c r="K2" s="7">
        <v>2.0262891809908901</v>
      </c>
      <c r="L2" s="7">
        <v>2.57836198179979</v>
      </c>
      <c r="M2" s="7">
        <v>3.2699696663296201</v>
      </c>
      <c r="N2" s="7">
        <v>4.09807886754297</v>
      </c>
      <c r="O2" s="7">
        <v>4.5864509605662196</v>
      </c>
      <c r="P2" s="7">
        <v>4.99898887765419</v>
      </c>
      <c r="Q2" s="7">
        <v>5.8270980788675404</v>
      </c>
      <c r="R2" s="7">
        <v>6.6643073811931197</v>
      </c>
      <c r="S2" s="7">
        <v>7.43174924165824</v>
      </c>
      <c r="T2" s="7">
        <v>8.0626895854398395</v>
      </c>
      <c r="U2" s="7">
        <v>8.5571284125379101</v>
      </c>
      <c r="V2" s="7">
        <v>9.2608695652173907</v>
      </c>
      <c r="W2" s="7">
        <v>9.8250758341759301</v>
      </c>
      <c r="X2" s="7">
        <v>10.459049544994899</v>
      </c>
      <c r="Y2" s="7">
        <v>11.0960566228513</v>
      </c>
      <c r="Z2" s="7">
        <v>11.8665318503538</v>
      </c>
      <c r="AA2" s="7">
        <v>12.779575328614699</v>
      </c>
      <c r="AB2" s="7">
        <v>13.483316481294199</v>
      </c>
      <c r="AC2" s="7">
        <v>14.259858442871501</v>
      </c>
      <c r="AD2" s="7">
        <v>14.8907987866531</v>
      </c>
      <c r="AE2" s="7">
        <v>15.3791708796764</v>
      </c>
      <c r="AF2" s="7">
        <v>15.9433771486349</v>
      </c>
      <c r="AG2" s="7">
        <v>16.5803842264914</v>
      </c>
      <c r="AH2" s="7">
        <v>17.138523761375101</v>
      </c>
      <c r="AI2" s="7">
        <v>17.766430738119301</v>
      </c>
      <c r="AJ2" s="7">
        <v>18.324570273003001</v>
      </c>
      <c r="AK2" s="7">
        <v>18.749241658240599</v>
      </c>
      <c r="AL2" s="7">
        <v>19.167846309403402</v>
      </c>
      <c r="AM2" s="7">
        <v>19.6562184024266</v>
      </c>
      <c r="AN2" s="7">
        <v>20.074823053589402</v>
      </c>
      <c r="AO2" s="7">
        <v>20.635995955510602</v>
      </c>
      <c r="AP2" s="7">
        <v>21.197168857431699</v>
      </c>
      <c r="AQ2" s="7">
        <v>21.828109201213302</v>
      </c>
      <c r="AR2" s="7">
        <v>22.322548028311399</v>
      </c>
      <c r="AS2" s="7">
        <v>22.671385237613698</v>
      </c>
      <c r="AT2" s="7">
        <v>23.508594539939299</v>
      </c>
      <c r="AU2" s="7">
        <v>23.857431749241599</v>
      </c>
      <c r="AV2" s="7">
        <v>24.206268958543902</v>
      </c>
      <c r="AW2" s="7">
        <v>24.694641051567199</v>
      </c>
      <c r="AX2" s="7">
        <v>23.0899898887765</v>
      </c>
      <c r="AY2" s="7">
        <v>25.398382204246701</v>
      </c>
      <c r="AZ2" s="7">
        <v>25.962588473205201</v>
      </c>
      <c r="BA2" s="7">
        <v>26.866531850353901</v>
      </c>
      <c r="BB2" s="7">
        <v>27.427704752275002</v>
      </c>
      <c r="BC2" s="7">
        <v>27.985844287158699</v>
      </c>
      <c r="BD2" s="7">
        <v>28.550050556117199</v>
      </c>
      <c r="BE2" s="7">
        <v>29.108190091000999</v>
      </c>
      <c r="BF2" s="7">
        <v>29.6632962588473</v>
      </c>
      <c r="BG2" s="7">
        <v>30.2912032355915</v>
      </c>
      <c r="BH2" s="7">
        <v>30.9191102123356</v>
      </c>
      <c r="BI2" s="7">
        <v>31.267947421637999</v>
      </c>
      <c r="BJ2" s="7">
        <v>31.895854398382198</v>
      </c>
      <c r="BK2" s="7">
        <v>32.393326592517703</v>
      </c>
      <c r="BL2" s="7">
        <v>33.021233569261803</v>
      </c>
      <c r="BM2" s="7">
        <v>33.855409504550003</v>
      </c>
      <c r="BN2" s="7">
        <v>34.483316481294203</v>
      </c>
      <c r="BO2" s="7">
        <v>35.180990899898802</v>
      </c>
      <c r="BP2" s="7">
        <v>35.599595551061597</v>
      </c>
      <c r="BQ2" s="7">
        <v>36.436804853387201</v>
      </c>
      <c r="BR2" s="7">
        <v>36.994944388270902</v>
      </c>
      <c r="BS2" s="7">
        <v>37.692618806875601</v>
      </c>
      <c r="BT2" s="7">
        <v>38.180990899898802</v>
      </c>
      <c r="BU2" s="7">
        <v>38.808897876643002</v>
      </c>
      <c r="BV2" s="7">
        <v>39.5065722952477</v>
      </c>
      <c r="BW2" s="7">
        <v>40.067745197168797</v>
      </c>
      <c r="BX2" s="7">
        <v>40.559150657229502</v>
      </c>
      <c r="BY2" s="7">
        <v>40.977755308392297</v>
      </c>
      <c r="BZ2" s="7">
        <v>41.396359959555099</v>
      </c>
      <c r="CA2" s="7">
        <v>42.024266936299298</v>
      </c>
      <c r="CB2" s="7">
        <v>42.721941354903898</v>
      </c>
      <c r="CC2" s="7">
        <v>43.210313447927199</v>
      </c>
      <c r="CD2" s="7">
        <v>44.047522750252703</v>
      </c>
      <c r="CE2" s="7">
        <v>44.675429726996903</v>
      </c>
      <c r="CF2" s="7">
        <v>45.582406471182999</v>
      </c>
      <c r="CG2" s="7">
        <v>46.349848331648097</v>
      </c>
      <c r="CH2" s="7">
        <v>47.117290192113202</v>
      </c>
      <c r="CI2" s="7">
        <v>48.163801820020197</v>
      </c>
      <c r="CJ2" s="7">
        <v>49.210313447927199</v>
      </c>
      <c r="CK2" s="7">
        <v>49.977755308392297</v>
      </c>
      <c r="CL2" s="7">
        <v>50.814964610717901</v>
      </c>
      <c r="CM2" s="7">
        <v>51.373104145601602</v>
      </c>
      <c r="CN2" s="7">
        <v>51.864509605662299</v>
      </c>
      <c r="CO2" s="7">
        <v>52.355915065722897</v>
      </c>
      <c r="CP2" s="7">
        <v>52.914054600606597</v>
      </c>
      <c r="CQ2" s="7">
        <v>53.541961577350797</v>
      </c>
      <c r="CR2" s="7">
        <v>54.169868554094997</v>
      </c>
      <c r="CS2" s="7">
        <v>54.8008088978766</v>
      </c>
      <c r="CT2" s="7">
        <v>55.289180990899901</v>
      </c>
      <c r="CU2" s="7">
        <v>56.262891809909</v>
      </c>
      <c r="CV2" s="7">
        <v>57.175935288169804</v>
      </c>
      <c r="CW2" s="7">
        <v>57.937310414560102</v>
      </c>
    </row>
    <row r="3" spans="1:101" x14ac:dyDescent="0.45">
      <c r="A3" s="1" t="s">
        <v>13</v>
      </c>
      <c r="C3" s="10"/>
      <c r="D3" s="10"/>
      <c r="F3" s="1" t="s">
        <v>16</v>
      </c>
      <c r="G3" s="1" t="s">
        <v>7</v>
      </c>
      <c r="H3" s="1">
        <v>55.2173913043478</v>
      </c>
      <c r="I3" s="1">
        <v>63.913043478260803</v>
      </c>
      <c r="J3" s="1">
        <v>69.130434782608702</v>
      </c>
      <c r="K3" s="1">
        <v>72.608695652173907</v>
      </c>
      <c r="L3" s="1">
        <v>76.086956521739197</v>
      </c>
      <c r="M3" s="1">
        <v>79.565217391304401</v>
      </c>
      <c r="N3" s="1">
        <v>84.7826086956522</v>
      </c>
      <c r="O3" s="1">
        <v>84.7826086956522</v>
      </c>
      <c r="P3" s="1">
        <v>88.260869565217405</v>
      </c>
      <c r="Q3" s="1">
        <v>93.478260869565304</v>
      </c>
      <c r="R3" s="1">
        <v>93.478260869565304</v>
      </c>
      <c r="S3" s="1">
        <v>93.478260869565304</v>
      </c>
      <c r="T3" s="1">
        <v>91.739130434782595</v>
      </c>
      <c r="U3" s="1">
        <v>88.260869565217405</v>
      </c>
      <c r="V3" s="1">
        <v>84.7826086956522</v>
      </c>
      <c r="W3" s="1">
        <v>81.304347826086996</v>
      </c>
      <c r="X3" s="1">
        <v>77.826086956521806</v>
      </c>
      <c r="Y3" s="1">
        <v>72.608695652173907</v>
      </c>
      <c r="Z3" s="1">
        <v>70.869565217391198</v>
      </c>
      <c r="AA3" s="1">
        <v>67.391304347826093</v>
      </c>
      <c r="AB3" s="1">
        <v>63.913043478260803</v>
      </c>
      <c r="AC3" s="1">
        <v>58.695652173913103</v>
      </c>
      <c r="AD3" s="1">
        <v>56.956521739130402</v>
      </c>
      <c r="AE3" s="1">
        <v>56.956521739130402</v>
      </c>
      <c r="AF3" s="1">
        <v>53.478260869565197</v>
      </c>
      <c r="AG3" s="1">
        <v>48.260869565217298</v>
      </c>
      <c r="AH3" s="1">
        <v>48.260869565217298</v>
      </c>
      <c r="AI3" s="1">
        <v>47.6</v>
      </c>
      <c r="AJ3" s="1">
        <v>46</v>
      </c>
      <c r="AK3" s="1">
        <v>44.782608695652101</v>
      </c>
      <c r="AL3" s="1">
        <v>44.782608695652101</v>
      </c>
      <c r="AM3" s="1">
        <v>44.4</v>
      </c>
      <c r="AN3" s="1">
        <v>44.2</v>
      </c>
      <c r="AO3" s="1">
        <v>43.043478260869499</v>
      </c>
      <c r="AP3" s="1">
        <v>41.304347826086897</v>
      </c>
      <c r="AQ3" s="1">
        <v>39.565217391304301</v>
      </c>
      <c r="AR3" s="1">
        <v>38</v>
      </c>
      <c r="AS3" s="1">
        <v>37</v>
      </c>
      <c r="AT3" s="1">
        <v>36.086956521739097</v>
      </c>
      <c r="AU3" s="1">
        <v>36.086956521739097</v>
      </c>
      <c r="AV3" s="1">
        <v>36.086956521739097</v>
      </c>
      <c r="AW3" s="1">
        <v>35</v>
      </c>
      <c r="AX3" s="1">
        <v>34.6</v>
      </c>
      <c r="AY3" s="1">
        <v>32.6086956521738</v>
      </c>
      <c r="AZ3" s="1">
        <v>31</v>
      </c>
      <c r="BA3" s="1">
        <v>30.869565217391202</v>
      </c>
      <c r="BB3" s="1">
        <v>29.130434782608599</v>
      </c>
      <c r="BC3" s="1">
        <v>29.130434782608599</v>
      </c>
      <c r="BD3" s="1">
        <v>27</v>
      </c>
      <c r="BE3" s="1">
        <v>26</v>
      </c>
      <c r="BF3" s="1">
        <v>27.391304347826001</v>
      </c>
      <c r="BG3" s="1">
        <v>26.8</v>
      </c>
      <c r="BH3" s="1">
        <v>26</v>
      </c>
      <c r="BI3" s="1">
        <v>25</v>
      </c>
      <c r="BJ3" s="1">
        <v>24</v>
      </c>
      <c r="BK3" s="1">
        <v>23.9</v>
      </c>
      <c r="BL3" s="1">
        <v>23.4</v>
      </c>
      <c r="BM3" s="1">
        <v>23.5</v>
      </c>
      <c r="BN3" s="1">
        <v>23.8</v>
      </c>
      <c r="BO3" s="1">
        <v>23.7</v>
      </c>
      <c r="BP3" s="1">
        <v>23.65</v>
      </c>
      <c r="BQ3" s="1">
        <v>23.6</v>
      </c>
      <c r="BR3" s="1">
        <v>23.5</v>
      </c>
      <c r="BS3" s="1">
        <v>23.4</v>
      </c>
      <c r="BT3" s="1">
        <v>23.6</v>
      </c>
      <c r="BU3" s="1">
        <v>23.5</v>
      </c>
      <c r="BV3" s="1">
        <v>23.1</v>
      </c>
      <c r="BW3" s="1">
        <v>22.173913043478102</v>
      </c>
      <c r="BX3" s="1">
        <v>21.5</v>
      </c>
      <c r="BY3" s="1">
        <f t="shared" ref="BY3:CM3" si="0">BX3-0.2</f>
        <v>21.3</v>
      </c>
      <c r="BZ3" s="1">
        <f t="shared" si="0"/>
        <v>21.1</v>
      </c>
      <c r="CA3" s="1">
        <f t="shared" si="0"/>
        <v>20.900000000000002</v>
      </c>
      <c r="CB3" s="1">
        <f t="shared" si="0"/>
        <v>20.700000000000003</v>
      </c>
      <c r="CC3" s="1">
        <f t="shared" si="0"/>
        <v>20.500000000000004</v>
      </c>
      <c r="CD3" s="1">
        <f t="shared" si="0"/>
        <v>20.300000000000004</v>
      </c>
      <c r="CE3" s="1">
        <f t="shared" si="0"/>
        <v>20.100000000000005</v>
      </c>
      <c r="CF3" s="1">
        <f t="shared" si="0"/>
        <v>19.900000000000006</v>
      </c>
      <c r="CG3" s="1">
        <f t="shared" si="0"/>
        <v>19.700000000000006</v>
      </c>
      <c r="CH3" s="1">
        <f t="shared" si="0"/>
        <v>19.500000000000007</v>
      </c>
      <c r="CI3" s="1">
        <f t="shared" si="0"/>
        <v>19.300000000000008</v>
      </c>
      <c r="CJ3" s="1">
        <f t="shared" si="0"/>
        <v>19.100000000000009</v>
      </c>
      <c r="CK3" s="1">
        <f t="shared" si="0"/>
        <v>18.900000000000009</v>
      </c>
      <c r="CL3" s="1">
        <f t="shared" si="0"/>
        <v>18.70000000000001</v>
      </c>
      <c r="CM3" s="1">
        <f t="shared" si="0"/>
        <v>18.500000000000011</v>
      </c>
      <c r="CN3" s="1">
        <v>17.7</v>
      </c>
      <c r="CO3" s="1">
        <f>CN3-0.3</f>
        <v>17.399999999999999</v>
      </c>
      <c r="CP3" s="1">
        <f>CO3-0.3</f>
        <v>17.099999999999998</v>
      </c>
      <c r="CQ3" s="1">
        <f>CP3-0.3</f>
        <v>16.799999999999997</v>
      </c>
      <c r="CR3" s="1">
        <f>CQ3-0.3</f>
        <v>16.499999999999996</v>
      </c>
      <c r="CS3" s="1">
        <f>CR3-0.2</f>
        <v>16.299999999999997</v>
      </c>
      <c r="CT3" s="1">
        <v>15.2</v>
      </c>
      <c r="CU3" s="1">
        <v>14</v>
      </c>
      <c r="CV3" s="1">
        <v>13.4782608695651</v>
      </c>
      <c r="CW3" s="1">
        <v>13</v>
      </c>
    </row>
    <row r="4" spans="1:101" x14ac:dyDescent="0.45">
      <c r="A4" s="1" t="s">
        <v>12</v>
      </c>
      <c r="B4" s="9">
        <v>681.33966223147354</v>
      </c>
      <c r="C4" s="10"/>
      <c r="D4" s="10"/>
    </row>
    <row r="5" spans="1:101" x14ac:dyDescent="0.45">
      <c r="A5" s="1" t="s">
        <v>11</v>
      </c>
      <c r="B5" s="9">
        <v>-0.9320807731351004</v>
      </c>
      <c r="C5" s="10"/>
      <c r="D5" s="10"/>
    </row>
    <row r="6" spans="1:101" x14ac:dyDescent="0.45">
      <c r="C6" s="10"/>
      <c r="D6" s="10"/>
    </row>
    <row r="7" spans="1:101" x14ac:dyDescent="0.45">
      <c r="A7" s="1" t="s">
        <v>10</v>
      </c>
      <c r="B7" s="8">
        <f>SUMPRODUCT(T11:CW11,T11:CW11)</f>
        <v>214.5076767281229</v>
      </c>
      <c r="C7" s="10"/>
      <c r="D7" s="10"/>
    </row>
    <row r="8" spans="1:101" ht="16.3" thickBot="1" x14ac:dyDescent="0.5">
      <c r="C8" s="10"/>
      <c r="D8" s="10"/>
      <c r="F8" s="1" t="s">
        <v>9</v>
      </c>
      <c r="G8" s="7" t="s">
        <v>8</v>
      </c>
      <c r="H8" s="7">
        <v>0.52173913043478304</v>
      </c>
      <c r="I8" s="7">
        <v>0.92517694641051296</v>
      </c>
      <c r="J8" s="7">
        <v>1.4742163801819901</v>
      </c>
      <c r="K8" s="7">
        <v>2.0262891809908901</v>
      </c>
      <c r="L8" s="7">
        <v>2.57836198179979</v>
      </c>
      <c r="M8" s="7">
        <v>3.2699696663296201</v>
      </c>
      <c r="N8" s="7">
        <v>4.09807886754297</v>
      </c>
      <c r="O8" s="7">
        <v>4.5864509605662196</v>
      </c>
      <c r="P8" s="7">
        <v>4.99898887765419</v>
      </c>
      <c r="Q8" s="7">
        <v>5.8270980788675404</v>
      </c>
      <c r="R8" s="7">
        <v>6.6643073811931197</v>
      </c>
      <c r="S8" s="7">
        <v>7.43174924165824</v>
      </c>
      <c r="T8" s="7">
        <v>8.0626895854398395</v>
      </c>
      <c r="U8" s="7">
        <v>8.5571284125379101</v>
      </c>
      <c r="V8" s="7">
        <v>9.2608695652173907</v>
      </c>
      <c r="W8" s="7">
        <v>9.8250758341759301</v>
      </c>
      <c r="X8" s="7">
        <v>10.459049544994899</v>
      </c>
      <c r="Y8" s="7">
        <v>11.0960566228513</v>
      </c>
      <c r="Z8" s="7">
        <v>11.8665318503538</v>
      </c>
      <c r="AA8" s="7">
        <v>12.779575328614699</v>
      </c>
      <c r="AB8" s="7">
        <v>13.483316481294199</v>
      </c>
      <c r="AC8" s="7">
        <v>14.259858442871501</v>
      </c>
      <c r="AD8" s="7">
        <v>14.8907987866531</v>
      </c>
      <c r="AE8" s="7">
        <v>15.3791708796764</v>
      </c>
      <c r="AF8" s="7">
        <v>15.9433771486349</v>
      </c>
      <c r="AG8" s="7">
        <v>16.5803842264914</v>
      </c>
      <c r="AH8" s="7">
        <v>17.138523761375101</v>
      </c>
      <c r="AI8" s="7">
        <v>17.766430738119301</v>
      </c>
      <c r="AJ8" s="7">
        <v>18.324570273003001</v>
      </c>
      <c r="AK8" s="7">
        <v>18.749241658240599</v>
      </c>
      <c r="AL8" s="7">
        <v>19.167846309403402</v>
      </c>
      <c r="AM8" s="7">
        <v>19.6562184024266</v>
      </c>
      <c r="AN8" s="7">
        <v>20.074823053589402</v>
      </c>
      <c r="AO8" s="7">
        <v>20.635995955510602</v>
      </c>
      <c r="AP8" s="7">
        <v>21.197168857431699</v>
      </c>
      <c r="AQ8" s="7">
        <v>21.828109201213302</v>
      </c>
      <c r="AR8" s="7">
        <v>22.322548028311399</v>
      </c>
      <c r="AS8" s="7">
        <v>22.671385237613698</v>
      </c>
      <c r="AT8" s="7">
        <v>23.508594539939299</v>
      </c>
      <c r="AU8" s="7">
        <v>23.857431749241599</v>
      </c>
      <c r="AV8" s="7">
        <v>24.206268958543902</v>
      </c>
      <c r="AW8" s="7">
        <v>24.694641051567199</v>
      </c>
      <c r="AX8" s="7">
        <v>23.0899898887765</v>
      </c>
      <c r="AY8" s="7">
        <v>25.398382204246701</v>
      </c>
      <c r="AZ8" s="7">
        <v>25.962588473205201</v>
      </c>
      <c r="BA8" s="7">
        <v>26.866531850353901</v>
      </c>
      <c r="BB8" s="7">
        <v>27.427704752275002</v>
      </c>
      <c r="BC8" s="7">
        <v>27.985844287158699</v>
      </c>
      <c r="BD8" s="7">
        <v>28.550050556117199</v>
      </c>
      <c r="BE8" s="7">
        <v>29.108190091000999</v>
      </c>
      <c r="BF8" s="7">
        <v>29.6632962588473</v>
      </c>
      <c r="BG8" s="7">
        <v>30.2912032355915</v>
      </c>
      <c r="BH8" s="7">
        <v>30.9191102123356</v>
      </c>
      <c r="BI8" s="7">
        <v>31.267947421637999</v>
      </c>
      <c r="BJ8" s="7">
        <v>31.895854398382198</v>
      </c>
      <c r="BK8" s="7">
        <v>32.393326592517703</v>
      </c>
      <c r="BL8" s="7">
        <v>33.021233569261803</v>
      </c>
      <c r="BM8" s="7">
        <v>33.855409504550003</v>
      </c>
      <c r="BN8" s="7">
        <v>34.483316481294203</v>
      </c>
      <c r="BO8" s="7">
        <v>35.180990899898802</v>
      </c>
      <c r="BP8" s="7">
        <v>35.599595551061597</v>
      </c>
      <c r="BQ8" s="7">
        <v>36.436804853387201</v>
      </c>
      <c r="BR8" s="7">
        <v>36.994944388270902</v>
      </c>
      <c r="BS8" s="7">
        <v>37.692618806875601</v>
      </c>
      <c r="BT8" s="7">
        <v>38.180990899898802</v>
      </c>
      <c r="BU8" s="7">
        <v>38.808897876643002</v>
      </c>
      <c r="BV8" s="7">
        <v>39.5065722952477</v>
      </c>
      <c r="BW8" s="7">
        <v>40.067745197168797</v>
      </c>
      <c r="BX8" s="7">
        <v>40.559150657229502</v>
      </c>
      <c r="BY8" s="7">
        <v>40.977755308392297</v>
      </c>
      <c r="BZ8" s="7">
        <v>41.396359959555099</v>
      </c>
      <c r="CA8" s="7">
        <v>42.024266936299298</v>
      </c>
      <c r="CB8" s="7">
        <v>42.721941354903898</v>
      </c>
      <c r="CC8" s="7">
        <v>43.210313447927199</v>
      </c>
      <c r="CD8" s="7">
        <v>44.047522750252703</v>
      </c>
      <c r="CE8" s="7">
        <v>44.675429726996903</v>
      </c>
      <c r="CF8" s="7">
        <v>45.582406471182999</v>
      </c>
      <c r="CG8" s="7">
        <v>46.349848331648097</v>
      </c>
      <c r="CH8" s="7">
        <v>47.117290192113202</v>
      </c>
      <c r="CI8" s="7">
        <v>48.163801820020197</v>
      </c>
      <c r="CJ8" s="7">
        <v>49.210313447927199</v>
      </c>
      <c r="CK8" s="7">
        <v>49.977755308392297</v>
      </c>
      <c r="CL8" s="7">
        <v>50.814964610717901</v>
      </c>
      <c r="CM8" s="7">
        <v>51.373104145601602</v>
      </c>
      <c r="CN8" s="7">
        <v>51.864509605662299</v>
      </c>
      <c r="CO8" s="7">
        <v>52.355915065722897</v>
      </c>
      <c r="CP8" s="7">
        <v>52.914054600606597</v>
      </c>
      <c r="CQ8" s="7">
        <v>53.541961577350797</v>
      </c>
      <c r="CR8" s="7">
        <v>54.169868554094997</v>
      </c>
      <c r="CS8" s="7">
        <v>54.8008088978766</v>
      </c>
      <c r="CT8" s="7">
        <v>55.289180990899901</v>
      </c>
      <c r="CU8" s="7">
        <v>56.262891809909</v>
      </c>
      <c r="CV8" s="7">
        <v>57.175935288169804</v>
      </c>
      <c r="CW8" s="7">
        <v>57.937310414560102</v>
      </c>
    </row>
    <row r="9" spans="1:101" x14ac:dyDescent="0.45">
      <c r="C9" s="10"/>
      <c r="D9" s="10"/>
      <c r="F9" s="1" t="s">
        <v>16</v>
      </c>
      <c r="G9" s="1" t="s">
        <v>7</v>
      </c>
      <c r="H9" s="8">
        <v>55.2173913043478</v>
      </c>
      <c r="I9" s="8">
        <v>63.913043478260803</v>
      </c>
      <c r="J9" s="8">
        <v>69.130434782608702</v>
      </c>
      <c r="K9" s="8">
        <v>72.608695652173907</v>
      </c>
      <c r="L9" s="8">
        <v>76.086956521739197</v>
      </c>
      <c r="M9" s="8">
        <v>79.565217391304401</v>
      </c>
      <c r="N9" s="8">
        <v>84.7826086956522</v>
      </c>
      <c r="O9" s="8">
        <v>84.7826086956522</v>
      </c>
      <c r="P9" s="8">
        <v>88.260869565217405</v>
      </c>
      <c r="Q9" s="8">
        <v>93.478260869565304</v>
      </c>
      <c r="R9" s="8">
        <v>93.478260869565304</v>
      </c>
      <c r="S9" s="8">
        <v>93.478260869565304</v>
      </c>
      <c r="T9" s="8">
        <v>92</v>
      </c>
      <c r="U9" s="1">
        <f t="shared" ref="U9:AZ9" si="1">$B$4*(U8^$B$5)</f>
        <v>92.120995372715925</v>
      </c>
      <c r="V9" s="1">
        <f t="shared" si="1"/>
        <v>85.578790484104587</v>
      </c>
      <c r="W9" s="1">
        <f t="shared" si="1"/>
        <v>80.989076647273635</v>
      </c>
      <c r="X9" s="1">
        <f t="shared" si="1"/>
        <v>76.403732255914406</v>
      </c>
      <c r="Y9" s="1">
        <f t="shared" si="1"/>
        <v>72.307284887452639</v>
      </c>
      <c r="Z9" s="1">
        <f t="shared" si="1"/>
        <v>67.921474308973316</v>
      </c>
      <c r="AA9" s="1">
        <f t="shared" si="1"/>
        <v>63.387115407746784</v>
      </c>
      <c r="AB9" s="1">
        <f t="shared" si="1"/>
        <v>60.29785495560251</v>
      </c>
      <c r="AC9" s="1">
        <f t="shared" si="1"/>
        <v>57.231492226131593</v>
      </c>
      <c r="AD9" s="1">
        <f t="shared" si="1"/>
        <v>54.967927038038489</v>
      </c>
      <c r="AE9" s="1">
        <f t="shared" si="1"/>
        <v>53.339177543588029</v>
      </c>
      <c r="AF9" s="1">
        <f t="shared" si="1"/>
        <v>51.577664963477488</v>
      </c>
      <c r="AG9" s="1">
        <f t="shared" si="1"/>
        <v>49.728230070300846</v>
      </c>
      <c r="AH9" s="1">
        <f t="shared" si="1"/>
        <v>48.2170659866512</v>
      </c>
      <c r="AI9" s="1">
        <f t="shared" si="1"/>
        <v>46.626773321639483</v>
      </c>
      <c r="AJ9" s="1">
        <f t="shared" si="1"/>
        <v>45.301663639019303</v>
      </c>
      <c r="AK9" s="1">
        <f t="shared" si="1"/>
        <v>44.344527660975409</v>
      </c>
      <c r="AL9" s="1">
        <f t="shared" si="1"/>
        <v>43.441192706386495</v>
      </c>
      <c r="AM9" s="1">
        <f t="shared" si="1"/>
        <v>42.434317325749952</v>
      </c>
      <c r="AN9" s="1">
        <f t="shared" si="1"/>
        <v>41.608977449618436</v>
      </c>
      <c r="AO9" s="1">
        <f t="shared" si="1"/>
        <v>40.553335433458301</v>
      </c>
      <c r="AP9" s="1">
        <f t="shared" si="1"/>
        <v>39.551738551427647</v>
      </c>
      <c r="AQ9" s="1">
        <f t="shared" si="1"/>
        <v>38.48508876307514</v>
      </c>
      <c r="AR9" s="1">
        <f t="shared" si="1"/>
        <v>37.689948034547733</v>
      </c>
      <c r="AS9" s="1">
        <f t="shared" si="1"/>
        <v>37.149129013202192</v>
      </c>
      <c r="AT9" s="1">
        <f t="shared" si="1"/>
        <v>35.914486409261485</v>
      </c>
      <c r="AU9" s="1">
        <f t="shared" si="1"/>
        <v>35.424776323694175</v>
      </c>
      <c r="AV9" s="1">
        <f t="shared" si="1"/>
        <v>34.948708091845987</v>
      </c>
      <c r="AW9" s="1">
        <f t="shared" si="1"/>
        <v>34.304054443753998</v>
      </c>
      <c r="AX9" s="1">
        <f t="shared" si="1"/>
        <v>36.520996129833584</v>
      </c>
      <c r="AY9" s="1">
        <f t="shared" si="1"/>
        <v>33.417269232582349</v>
      </c>
      <c r="AZ9" s="1">
        <f t="shared" si="1"/>
        <v>32.739881512830024</v>
      </c>
      <c r="BA9" s="1">
        <f t="shared" ref="BA9:CF9" si="2">$B$4*(BA8^$B$5)</f>
        <v>31.711954560226769</v>
      </c>
      <c r="BB9" s="1">
        <f t="shared" si="2"/>
        <v>31.106770256443202</v>
      </c>
      <c r="BC9" s="1">
        <f t="shared" si="2"/>
        <v>30.528129538297755</v>
      </c>
      <c r="BD9" s="1">
        <f t="shared" si="2"/>
        <v>29.965427869878141</v>
      </c>
      <c r="BE9" s="1">
        <f t="shared" si="2"/>
        <v>29.429524769365919</v>
      </c>
      <c r="BF9" s="1">
        <f t="shared" si="2"/>
        <v>28.915870140108286</v>
      </c>
      <c r="BG9" s="1">
        <f t="shared" si="2"/>
        <v>28.356786876672032</v>
      </c>
      <c r="BH9" s="1">
        <f t="shared" si="2"/>
        <v>27.819655545004927</v>
      </c>
      <c r="BI9" s="1">
        <f t="shared" si="2"/>
        <v>27.530258632268374</v>
      </c>
      <c r="BJ9" s="1">
        <f t="shared" si="2"/>
        <v>27.024763232886002</v>
      </c>
      <c r="BK9" s="1">
        <f t="shared" si="2"/>
        <v>26.637722749811097</v>
      </c>
      <c r="BL9" s="1">
        <f t="shared" si="2"/>
        <v>26.165295510095774</v>
      </c>
      <c r="BM9" s="1">
        <f t="shared" si="2"/>
        <v>25.563879138564499</v>
      </c>
      <c r="BN9" s="1">
        <f t="shared" si="2"/>
        <v>25.129732128990444</v>
      </c>
      <c r="BO9" s="1">
        <f t="shared" si="2"/>
        <v>24.664916627077133</v>
      </c>
      <c r="BP9" s="1">
        <f t="shared" si="2"/>
        <v>24.39447950538333</v>
      </c>
      <c r="BQ9" s="1">
        <f t="shared" si="2"/>
        <v>23.871625534102492</v>
      </c>
      <c r="BR9" s="1">
        <f t="shared" si="2"/>
        <v>23.535764511651379</v>
      </c>
      <c r="BS9" s="1">
        <f t="shared" si="2"/>
        <v>23.129458672777904</v>
      </c>
      <c r="BT9" s="1">
        <f t="shared" si="2"/>
        <v>22.853583808461792</v>
      </c>
      <c r="BU9" s="1">
        <f t="shared" si="2"/>
        <v>22.50874843902616</v>
      </c>
      <c r="BV9" s="1">
        <f t="shared" si="2"/>
        <v>22.138024720651888</v>
      </c>
      <c r="BW9" s="1">
        <f t="shared" si="2"/>
        <v>21.848888996130409</v>
      </c>
      <c r="BX9" s="1">
        <f t="shared" si="2"/>
        <v>21.602050176449644</v>
      </c>
      <c r="BY9" s="1">
        <f t="shared" si="2"/>
        <v>21.396292716059232</v>
      </c>
      <c r="BZ9" s="1">
        <f t="shared" si="2"/>
        <v>21.194556613069992</v>
      </c>
      <c r="CA9" s="1">
        <f t="shared" si="2"/>
        <v>20.899235472688147</v>
      </c>
      <c r="CB9" s="1">
        <f t="shared" si="2"/>
        <v>20.580941830309907</v>
      </c>
      <c r="CC9" s="1">
        <f t="shared" si="2"/>
        <v>20.364046825654739</v>
      </c>
      <c r="CD9" s="1">
        <f t="shared" si="2"/>
        <v>20.003042554231662</v>
      </c>
      <c r="CE9" s="1">
        <f t="shared" si="2"/>
        <v>19.74087166881338</v>
      </c>
      <c r="CF9" s="1">
        <f t="shared" si="2"/>
        <v>19.374506452112218</v>
      </c>
      <c r="CG9" s="1">
        <f t="shared" ref="CG9:CW9" si="3">$B$4*(CG8^$B$5)</f>
        <v>19.075330318016988</v>
      </c>
      <c r="CH9" s="1">
        <f t="shared" si="3"/>
        <v>18.785574373366551</v>
      </c>
      <c r="CI9" s="1">
        <f t="shared" si="3"/>
        <v>18.404838174756772</v>
      </c>
      <c r="CJ9" s="1">
        <f t="shared" si="3"/>
        <v>18.039757026331415</v>
      </c>
      <c r="CK9" s="1">
        <f t="shared" si="3"/>
        <v>17.781423583391273</v>
      </c>
      <c r="CL9" s="1">
        <f t="shared" si="3"/>
        <v>17.508207127072456</v>
      </c>
      <c r="CM9" s="1">
        <f t="shared" si="3"/>
        <v>17.33084412526156</v>
      </c>
      <c r="CN9" s="1">
        <f t="shared" si="3"/>
        <v>17.177741316836553</v>
      </c>
      <c r="CO9" s="1">
        <f t="shared" si="3"/>
        <v>17.02741580173069</v>
      </c>
      <c r="CP9" s="1">
        <f t="shared" si="3"/>
        <v>16.859948446116999</v>
      </c>
      <c r="CQ9" s="1">
        <f t="shared" si="3"/>
        <v>16.675580900158543</v>
      </c>
      <c r="CR9" s="1">
        <f t="shared" si="3"/>
        <v>16.495344012310685</v>
      </c>
      <c r="CS9" s="1">
        <f t="shared" si="3"/>
        <v>16.318256993587745</v>
      </c>
      <c r="CT9" s="1">
        <f t="shared" si="3"/>
        <v>16.183866463717571</v>
      </c>
      <c r="CU9" s="1">
        <f t="shared" si="3"/>
        <v>15.922650006223014</v>
      </c>
      <c r="CV9" s="1">
        <f t="shared" si="3"/>
        <v>15.685521435462366</v>
      </c>
      <c r="CW9" s="1">
        <f t="shared" si="3"/>
        <v>15.493306314826768</v>
      </c>
    </row>
    <row r="10" spans="1:101" x14ac:dyDescent="0.45">
      <c r="C10" s="10"/>
      <c r="D10" s="10"/>
    </row>
    <row r="11" spans="1:101" x14ac:dyDescent="0.45">
      <c r="C11" s="10"/>
      <c r="D11" s="10"/>
      <c r="F11" s="1" t="s">
        <v>6</v>
      </c>
      <c r="T11" s="1">
        <f t="shared" ref="T11:AY11" si="4">T9-T3</f>
        <v>0.2608695652174049</v>
      </c>
      <c r="U11" s="1">
        <f t="shared" si="4"/>
        <v>3.8601258074985196</v>
      </c>
      <c r="V11" s="1">
        <f t="shared" si="4"/>
        <v>0.79618178845238674</v>
      </c>
      <c r="W11" s="1">
        <f t="shared" si="4"/>
        <v>-0.31527117881336153</v>
      </c>
      <c r="X11" s="1">
        <f t="shared" si="4"/>
        <v>-1.4223547006074</v>
      </c>
      <c r="Y11" s="1">
        <f t="shared" si="4"/>
        <v>-0.30141076472126827</v>
      </c>
      <c r="Z11" s="1">
        <f t="shared" si="4"/>
        <v>-2.9480909084178819</v>
      </c>
      <c r="AA11" s="1">
        <f t="shared" si="4"/>
        <v>-4.0041889400793096</v>
      </c>
      <c r="AB11" s="1">
        <f t="shared" si="4"/>
        <v>-3.6151885226582934</v>
      </c>
      <c r="AC11" s="1">
        <f t="shared" si="4"/>
        <v>-1.4641599477815106</v>
      </c>
      <c r="AD11" s="1">
        <f t="shared" si="4"/>
        <v>-1.9885947010919125</v>
      </c>
      <c r="AE11" s="1">
        <f t="shared" si="4"/>
        <v>-3.6173441955423726</v>
      </c>
      <c r="AF11" s="1">
        <f t="shared" si="4"/>
        <v>-1.9005959060877089</v>
      </c>
      <c r="AG11" s="1">
        <f t="shared" si="4"/>
        <v>1.4673605050835477</v>
      </c>
      <c r="AH11" s="1">
        <f t="shared" si="4"/>
        <v>-4.3803578566098622E-2</v>
      </c>
      <c r="AI11" s="1">
        <f t="shared" si="4"/>
        <v>-0.97322667836051835</v>
      </c>
      <c r="AJ11" s="1">
        <f t="shared" si="4"/>
        <v>-0.69833636098069718</v>
      </c>
      <c r="AK11" s="1">
        <f t="shared" si="4"/>
        <v>-0.43808103467669213</v>
      </c>
      <c r="AL11" s="1">
        <f t="shared" si="4"/>
        <v>-1.3414159892656059</v>
      </c>
      <c r="AM11" s="1">
        <f t="shared" si="4"/>
        <v>-1.9656826742500471</v>
      </c>
      <c r="AN11" s="1">
        <f t="shared" si="4"/>
        <v>-2.5910225503815667</v>
      </c>
      <c r="AO11" s="1">
        <f t="shared" si="4"/>
        <v>-2.4901428274111979</v>
      </c>
      <c r="AP11" s="1">
        <f t="shared" si="4"/>
        <v>-1.7526092746592496</v>
      </c>
      <c r="AQ11" s="1">
        <f t="shared" si="4"/>
        <v>-1.0801286282291613</v>
      </c>
      <c r="AR11" s="1">
        <f t="shared" si="4"/>
        <v>-0.3100519654522671</v>
      </c>
      <c r="AS11" s="1">
        <f t="shared" si="4"/>
        <v>0.14912901320219163</v>
      </c>
      <c r="AT11" s="1">
        <f t="shared" si="4"/>
        <v>-0.17247011247761179</v>
      </c>
      <c r="AU11" s="1">
        <f t="shared" si="4"/>
        <v>-0.66218019804492201</v>
      </c>
      <c r="AV11" s="1">
        <f t="shared" si="4"/>
        <v>-1.1382484298931104</v>
      </c>
      <c r="AW11" s="1">
        <f t="shared" si="4"/>
        <v>-0.69594555624600218</v>
      </c>
      <c r="AX11" s="1">
        <f t="shared" si="4"/>
        <v>1.9209961298335827</v>
      </c>
      <c r="AY11" s="1">
        <f t="shared" si="4"/>
        <v>0.80857358040854876</v>
      </c>
      <c r="AZ11" s="1">
        <f t="shared" ref="AZ11:CE11" si="5">AZ9-AZ3</f>
        <v>1.7398815128300242</v>
      </c>
      <c r="BA11" s="1">
        <f t="shared" si="5"/>
        <v>0.84238934283556688</v>
      </c>
      <c r="BB11" s="1">
        <f t="shared" si="5"/>
        <v>1.9763354738346024</v>
      </c>
      <c r="BC11" s="1">
        <f t="shared" si="5"/>
        <v>1.3976947556891552</v>
      </c>
      <c r="BD11" s="1">
        <f t="shared" si="5"/>
        <v>2.9654278698781411</v>
      </c>
      <c r="BE11" s="1">
        <f t="shared" si="5"/>
        <v>3.4295247693659192</v>
      </c>
      <c r="BF11" s="1">
        <f t="shared" si="5"/>
        <v>1.5245657922822851</v>
      </c>
      <c r="BG11" s="1">
        <f t="shared" si="5"/>
        <v>1.5567868766720316</v>
      </c>
      <c r="BH11" s="1">
        <f t="shared" si="5"/>
        <v>1.8196555450049274</v>
      </c>
      <c r="BI11" s="1">
        <f t="shared" si="5"/>
        <v>2.5302586322683744</v>
      </c>
      <c r="BJ11" s="1">
        <f t="shared" si="5"/>
        <v>3.0247632328860021</v>
      </c>
      <c r="BK11" s="1">
        <f t="shared" si="5"/>
        <v>2.7377227498110983</v>
      </c>
      <c r="BL11" s="1">
        <f t="shared" si="5"/>
        <v>2.7652955100957755</v>
      </c>
      <c r="BM11" s="1">
        <f t="shared" si="5"/>
        <v>2.0638791385644986</v>
      </c>
      <c r="BN11" s="1">
        <f t="shared" si="5"/>
        <v>1.3297321289904431</v>
      </c>
      <c r="BO11" s="1">
        <f t="shared" si="5"/>
        <v>0.96491662707713388</v>
      </c>
      <c r="BP11" s="1">
        <f t="shared" si="5"/>
        <v>0.74447950538333174</v>
      </c>
      <c r="BQ11" s="1">
        <f t="shared" si="5"/>
        <v>0.27162553410249046</v>
      </c>
      <c r="BR11" s="1">
        <f t="shared" si="5"/>
        <v>3.5764511651379394E-2</v>
      </c>
      <c r="BS11" s="1">
        <f t="shared" si="5"/>
        <v>-0.27054132722209445</v>
      </c>
      <c r="BT11" s="1">
        <f t="shared" si="5"/>
        <v>-0.74641619153820926</v>
      </c>
      <c r="BU11" s="1">
        <f t="shared" si="5"/>
        <v>-0.99125156097383993</v>
      </c>
      <c r="BV11" s="1">
        <f t="shared" si="5"/>
        <v>-0.96197527934811333</v>
      </c>
      <c r="BW11" s="1">
        <f t="shared" si="5"/>
        <v>-0.32502404734769286</v>
      </c>
      <c r="BX11" s="1">
        <f t="shared" si="5"/>
        <v>0.10205017644964443</v>
      </c>
      <c r="BY11" s="1">
        <f t="shared" si="5"/>
        <v>9.6292716059231509E-2</v>
      </c>
      <c r="BZ11" s="1">
        <f t="shared" si="5"/>
        <v>9.4556613069990192E-2</v>
      </c>
      <c r="CA11" s="1">
        <f t="shared" si="5"/>
        <v>-7.6452731185483458E-4</v>
      </c>
      <c r="CB11" s="1">
        <f t="shared" si="5"/>
        <v>-0.11905816969009564</v>
      </c>
      <c r="CC11" s="1">
        <f t="shared" si="5"/>
        <v>-0.13595317434526422</v>
      </c>
      <c r="CD11" s="1">
        <f t="shared" si="5"/>
        <v>-0.29695744576834215</v>
      </c>
      <c r="CE11" s="1">
        <f t="shared" si="5"/>
        <v>-0.35912833118662491</v>
      </c>
      <c r="CF11" s="1">
        <f t="shared" ref="CF11:CW11" si="6">CF9-CF3</f>
        <v>-0.52549354788778757</v>
      </c>
      <c r="CG11" s="1">
        <f t="shared" si="6"/>
        <v>-0.62466968198301842</v>
      </c>
      <c r="CH11" s="1">
        <f t="shared" si="6"/>
        <v>-0.71442562663345655</v>
      </c>
      <c r="CI11" s="1">
        <f t="shared" si="6"/>
        <v>-0.8951618252432354</v>
      </c>
      <c r="CJ11" s="1">
        <f t="shared" si="6"/>
        <v>-1.0602429736685934</v>
      </c>
      <c r="CK11" s="1">
        <f t="shared" si="6"/>
        <v>-1.118576416608736</v>
      </c>
      <c r="CL11" s="1">
        <f t="shared" si="6"/>
        <v>-1.1917928729275538</v>
      </c>
      <c r="CM11" s="1">
        <f t="shared" si="6"/>
        <v>-1.1691558747384505</v>
      </c>
      <c r="CN11" s="1">
        <f t="shared" si="6"/>
        <v>-0.52225868316344659</v>
      </c>
      <c r="CO11" s="1">
        <f t="shared" si="6"/>
        <v>-0.37258419826930833</v>
      </c>
      <c r="CP11" s="1">
        <f t="shared" si="6"/>
        <v>-0.24005155388299926</v>
      </c>
      <c r="CQ11" s="1">
        <f t="shared" si="6"/>
        <v>-0.12441909984145383</v>
      </c>
      <c r="CR11" s="1">
        <f t="shared" si="6"/>
        <v>-4.6559876893113028E-3</v>
      </c>
      <c r="CS11" s="1">
        <f t="shared" si="6"/>
        <v>1.8256993587748127E-2</v>
      </c>
      <c r="CT11" s="1">
        <f t="shared" si="6"/>
        <v>0.9838664637175718</v>
      </c>
      <c r="CU11" s="1">
        <f t="shared" si="6"/>
        <v>1.9226500062230141</v>
      </c>
      <c r="CV11" s="1">
        <f t="shared" si="6"/>
        <v>2.2072605658972666</v>
      </c>
      <c r="CW11" s="1">
        <f t="shared" si="6"/>
        <v>2.4933063148267678</v>
      </c>
    </row>
    <row r="12" spans="1:101" x14ac:dyDescent="0.45">
      <c r="C12" s="10"/>
      <c r="D12" s="10"/>
    </row>
    <row r="13" spans="1:101" x14ac:dyDescent="0.45">
      <c r="C13" s="10"/>
      <c r="D13" s="10"/>
    </row>
    <row r="14" spans="1:101" x14ac:dyDescent="0.45">
      <c r="C14" s="10"/>
      <c r="D14" s="10"/>
    </row>
    <row r="15" spans="1:101" x14ac:dyDescent="0.45">
      <c r="A15" s="6" t="s">
        <v>5</v>
      </c>
    </row>
    <row r="17" spans="1:5" x14ac:dyDescent="0.45">
      <c r="A17" s="5" t="s">
        <v>4</v>
      </c>
      <c r="B17" s="5" t="s">
        <v>3</v>
      </c>
      <c r="C17" s="5" t="s">
        <v>2</v>
      </c>
      <c r="D17" s="5" t="s">
        <v>15</v>
      </c>
      <c r="E17" s="5" t="s">
        <v>0</v>
      </c>
    </row>
    <row r="18" spans="1:5" x14ac:dyDescent="0.45">
      <c r="A18" s="3">
        <f t="shared" ref="A18:A30" si="7">B18/12</f>
        <v>4.3478260869565251E-2</v>
      </c>
      <c r="B18" s="3">
        <v>0.52173913043478304</v>
      </c>
      <c r="C18" s="11">
        <v>55.2173913043478</v>
      </c>
      <c r="D18" s="3">
        <f t="shared" ref="D18:D81" si="8">C18*(365/12)</f>
        <v>1679.5289855072456</v>
      </c>
      <c r="E18" s="3">
        <f>D18</f>
        <v>1679.5289855072456</v>
      </c>
    </row>
    <row r="19" spans="1:5" x14ac:dyDescent="0.45">
      <c r="A19" s="3">
        <f t="shared" si="7"/>
        <v>7.7098078867542746E-2</v>
      </c>
      <c r="B19" s="3">
        <v>0.92517694641051296</v>
      </c>
      <c r="C19" s="11">
        <v>63.913043478260803</v>
      </c>
      <c r="D19" s="3">
        <f t="shared" si="8"/>
        <v>1944.0217391304329</v>
      </c>
      <c r="E19" s="3">
        <f t="shared" ref="E19:E82" si="9">E18+D19</f>
        <v>3623.5507246376783</v>
      </c>
    </row>
    <row r="20" spans="1:5" x14ac:dyDescent="0.45">
      <c r="A20" s="3">
        <f t="shared" si="7"/>
        <v>0.12285136501516584</v>
      </c>
      <c r="B20" s="3">
        <v>1.4742163801819901</v>
      </c>
      <c r="C20" s="11">
        <v>69.130434782608702</v>
      </c>
      <c r="D20" s="3">
        <f t="shared" si="8"/>
        <v>2102.717391304348</v>
      </c>
      <c r="E20" s="3">
        <f t="shared" si="9"/>
        <v>5726.2681159420263</v>
      </c>
    </row>
    <row r="21" spans="1:5" x14ac:dyDescent="0.45">
      <c r="A21" s="3">
        <f t="shared" si="7"/>
        <v>0.16885743174924084</v>
      </c>
      <c r="B21" s="3">
        <v>2.0262891809908901</v>
      </c>
      <c r="C21" s="11">
        <v>72.608695652173907</v>
      </c>
      <c r="D21" s="3">
        <f t="shared" si="8"/>
        <v>2208.514492753623</v>
      </c>
      <c r="E21" s="3">
        <f t="shared" si="9"/>
        <v>7934.7826086956493</v>
      </c>
    </row>
    <row r="22" spans="1:5" x14ac:dyDescent="0.45">
      <c r="A22" s="3">
        <f t="shared" si="7"/>
        <v>0.21486349848331585</v>
      </c>
      <c r="B22" s="3">
        <v>2.57836198179979</v>
      </c>
      <c r="C22" s="11">
        <v>76.086956521739197</v>
      </c>
      <c r="D22" s="3">
        <f t="shared" si="8"/>
        <v>2314.3115942029008</v>
      </c>
      <c r="E22" s="3">
        <f t="shared" si="9"/>
        <v>10249.09420289855</v>
      </c>
    </row>
    <row r="23" spans="1:5" x14ac:dyDescent="0.45">
      <c r="A23" s="3">
        <f t="shared" si="7"/>
        <v>0.272497472194135</v>
      </c>
      <c r="B23" s="3">
        <v>3.2699696663296201</v>
      </c>
      <c r="C23" s="11">
        <v>79.565217391304401</v>
      </c>
      <c r="D23" s="3">
        <f t="shared" si="8"/>
        <v>2420.1086956521758</v>
      </c>
      <c r="E23" s="3">
        <f t="shared" si="9"/>
        <v>12669.202898550726</v>
      </c>
    </row>
    <row r="24" spans="1:5" x14ac:dyDescent="0.45">
      <c r="A24" s="3">
        <f t="shared" si="7"/>
        <v>0.3415065722952475</v>
      </c>
      <c r="B24" s="3">
        <v>4.09807886754297</v>
      </c>
      <c r="C24" s="11">
        <v>84.7826086956522</v>
      </c>
      <c r="D24" s="3">
        <f t="shared" si="8"/>
        <v>2578.8043478260879</v>
      </c>
      <c r="E24" s="3">
        <f t="shared" si="9"/>
        <v>15248.007246376814</v>
      </c>
    </row>
    <row r="25" spans="1:5" x14ac:dyDescent="0.45">
      <c r="A25" s="3">
        <f t="shared" si="7"/>
        <v>0.38220424671385161</v>
      </c>
      <c r="B25" s="3">
        <v>4.5864509605662196</v>
      </c>
      <c r="C25" s="11">
        <v>84.7826086956522</v>
      </c>
      <c r="D25" s="3">
        <f t="shared" si="8"/>
        <v>2578.8043478260879</v>
      </c>
      <c r="E25" s="3">
        <f t="shared" si="9"/>
        <v>17826.811594202904</v>
      </c>
    </row>
    <row r="26" spans="1:5" x14ac:dyDescent="0.45">
      <c r="A26" s="3">
        <f t="shared" si="7"/>
        <v>0.4165824064711825</v>
      </c>
      <c r="B26" s="3">
        <v>4.99898887765419</v>
      </c>
      <c r="C26" s="11">
        <v>88.260869565217405</v>
      </c>
      <c r="D26" s="3">
        <f t="shared" si="8"/>
        <v>2684.6014492753629</v>
      </c>
      <c r="E26" s="3">
        <f t="shared" si="9"/>
        <v>20511.413043478267</v>
      </c>
    </row>
    <row r="27" spans="1:5" x14ac:dyDescent="0.45">
      <c r="A27" s="3">
        <f t="shared" si="7"/>
        <v>0.48559150657229505</v>
      </c>
      <c r="B27" s="3">
        <v>5.8270980788675404</v>
      </c>
      <c r="C27" s="11">
        <v>93.478260869565304</v>
      </c>
      <c r="D27" s="3">
        <f t="shared" si="8"/>
        <v>2843.2971014492782</v>
      </c>
      <c r="E27" s="3">
        <f t="shared" si="9"/>
        <v>23354.710144927547</v>
      </c>
    </row>
    <row r="28" spans="1:5" x14ac:dyDescent="0.45">
      <c r="A28" s="3">
        <f t="shared" si="7"/>
        <v>0.55535894843276001</v>
      </c>
      <c r="B28" s="3">
        <v>6.6643073811931197</v>
      </c>
      <c r="C28" s="11">
        <v>93.478260869565304</v>
      </c>
      <c r="D28" s="3">
        <f t="shared" si="8"/>
        <v>2843.2971014492782</v>
      </c>
      <c r="E28" s="3">
        <f t="shared" si="9"/>
        <v>26198.007246376827</v>
      </c>
    </row>
    <row r="29" spans="1:5" x14ac:dyDescent="0.45">
      <c r="A29" s="3">
        <f t="shared" si="7"/>
        <v>0.61931243680485337</v>
      </c>
      <c r="B29" s="3">
        <v>7.43174924165824</v>
      </c>
      <c r="C29" s="11">
        <v>93.478260869565304</v>
      </c>
      <c r="D29" s="3">
        <f t="shared" si="8"/>
        <v>2843.2971014492782</v>
      </c>
      <c r="E29" s="3">
        <f t="shared" si="9"/>
        <v>29041.304347826106</v>
      </c>
    </row>
    <row r="30" spans="1:5" x14ac:dyDescent="0.45">
      <c r="A30" s="3">
        <f t="shared" si="7"/>
        <v>0.67189079878665325</v>
      </c>
      <c r="B30" s="3">
        <v>8.0626895854398395</v>
      </c>
      <c r="C30" s="11">
        <v>92</v>
      </c>
      <c r="D30" s="3">
        <f t="shared" si="8"/>
        <v>2798.3333333333335</v>
      </c>
      <c r="E30" s="3">
        <f t="shared" si="9"/>
        <v>31839.637681159438</v>
      </c>
    </row>
    <row r="31" spans="1:5" x14ac:dyDescent="0.45">
      <c r="A31" s="3">
        <f t="shared" ref="A31:A94" si="10">A30+(1/12)</f>
        <v>0.75522413211998662</v>
      </c>
      <c r="B31" s="3">
        <f t="shared" ref="B31:B94" si="11">A31*12</f>
        <v>9.0626895854398395</v>
      </c>
      <c r="C31" s="3">
        <f t="shared" ref="C31:C94" si="12">$B$4*(B31^$B$5)</f>
        <v>87.321809873686405</v>
      </c>
      <c r="D31" s="3">
        <f t="shared" si="8"/>
        <v>2656.0383836579617</v>
      </c>
      <c r="E31" s="3">
        <f t="shared" si="9"/>
        <v>34495.676064817402</v>
      </c>
    </row>
    <row r="32" spans="1:5" x14ac:dyDescent="0.45">
      <c r="A32" s="3">
        <f t="shared" si="10"/>
        <v>0.83855746545331999</v>
      </c>
      <c r="B32" s="3">
        <f t="shared" si="11"/>
        <v>10.062689585439839</v>
      </c>
      <c r="C32" s="3">
        <f t="shared" si="12"/>
        <v>79.205102425857348</v>
      </c>
      <c r="D32" s="3">
        <f t="shared" si="8"/>
        <v>2409.1551987864946</v>
      </c>
      <c r="E32" s="3">
        <f t="shared" si="9"/>
        <v>36904.831263603897</v>
      </c>
    </row>
    <row r="33" spans="1:5" x14ac:dyDescent="0.45">
      <c r="A33" s="3">
        <f t="shared" si="10"/>
        <v>0.92189079878665336</v>
      </c>
      <c r="B33" s="3">
        <f t="shared" si="11"/>
        <v>11.062689585439841</v>
      </c>
      <c r="C33" s="3">
        <f t="shared" si="12"/>
        <v>72.510543092929751</v>
      </c>
      <c r="D33" s="3">
        <f t="shared" si="8"/>
        <v>2205.5290190766132</v>
      </c>
      <c r="E33" s="3">
        <f t="shared" si="9"/>
        <v>39110.360282680507</v>
      </c>
    </row>
    <row r="34" spans="1:5" x14ac:dyDescent="0.45">
      <c r="A34" s="3">
        <f t="shared" si="10"/>
        <v>1.0052241321199866</v>
      </c>
      <c r="B34" s="3">
        <f t="shared" si="11"/>
        <v>12.062689585439839</v>
      </c>
      <c r="C34" s="3">
        <f t="shared" si="12"/>
        <v>66.891412926135061</v>
      </c>
      <c r="D34" s="3">
        <f t="shared" si="8"/>
        <v>2034.6138098366082</v>
      </c>
      <c r="E34" s="3">
        <f t="shared" si="9"/>
        <v>41144.974092517114</v>
      </c>
    </row>
    <row r="35" spans="1:5" x14ac:dyDescent="0.45">
      <c r="A35" s="3">
        <f t="shared" si="10"/>
        <v>1.0885574654533199</v>
      </c>
      <c r="B35" s="3">
        <f t="shared" si="11"/>
        <v>13.062689585439838</v>
      </c>
      <c r="C35" s="3">
        <f t="shared" si="12"/>
        <v>62.105653511985544</v>
      </c>
      <c r="D35" s="3">
        <f t="shared" si="8"/>
        <v>1889.0469609895604</v>
      </c>
      <c r="E35" s="3">
        <f t="shared" si="9"/>
        <v>43034.021053506673</v>
      </c>
    </row>
    <row r="36" spans="1:5" x14ac:dyDescent="0.45">
      <c r="A36" s="3">
        <f t="shared" si="10"/>
        <v>1.1718907987866531</v>
      </c>
      <c r="B36" s="3">
        <f t="shared" si="11"/>
        <v>14.062689585439838</v>
      </c>
      <c r="C36" s="3">
        <f t="shared" si="12"/>
        <v>57.979063733217025</v>
      </c>
      <c r="D36" s="3">
        <f t="shared" si="8"/>
        <v>1763.5298552186846</v>
      </c>
      <c r="E36" s="3">
        <f t="shared" si="9"/>
        <v>44797.550908725359</v>
      </c>
    </row>
    <row r="37" spans="1:5" x14ac:dyDescent="0.45">
      <c r="A37" s="3">
        <f t="shared" si="10"/>
        <v>1.2552241321199864</v>
      </c>
      <c r="B37" s="3">
        <f t="shared" si="11"/>
        <v>15.062689585439838</v>
      </c>
      <c r="C37" s="3">
        <f t="shared" si="12"/>
        <v>54.383026565659094</v>
      </c>
      <c r="D37" s="3">
        <f t="shared" si="8"/>
        <v>1654.1503913721308</v>
      </c>
      <c r="E37" s="3">
        <f t="shared" si="9"/>
        <v>46451.701300097491</v>
      </c>
    </row>
    <row r="38" spans="1:5" x14ac:dyDescent="0.45">
      <c r="A38" s="3">
        <f t="shared" si="10"/>
        <v>1.3385574654533197</v>
      </c>
      <c r="B38" s="3">
        <f t="shared" si="11"/>
        <v>16.062689585439834</v>
      </c>
      <c r="C38" s="3">
        <f t="shared" si="12"/>
        <v>51.220480547096685</v>
      </c>
      <c r="D38" s="3">
        <f t="shared" si="8"/>
        <v>1557.9562833075242</v>
      </c>
      <c r="E38" s="3">
        <f t="shared" si="9"/>
        <v>48009.657583405016</v>
      </c>
    </row>
    <row r="39" spans="1:5" x14ac:dyDescent="0.45">
      <c r="A39" s="3">
        <f t="shared" si="10"/>
        <v>1.4218907987866529</v>
      </c>
      <c r="B39" s="3">
        <f t="shared" si="11"/>
        <v>17.062689585439834</v>
      </c>
      <c r="C39" s="3">
        <f t="shared" si="12"/>
        <v>48.41677899843517</v>
      </c>
      <c r="D39" s="3">
        <f t="shared" si="8"/>
        <v>1472.6770278690699</v>
      </c>
      <c r="E39" s="3">
        <f t="shared" si="9"/>
        <v>49482.334611274084</v>
      </c>
    </row>
    <row r="40" spans="1:5" x14ac:dyDescent="0.45">
      <c r="A40" s="3">
        <f t="shared" si="10"/>
        <v>1.5052241321199862</v>
      </c>
      <c r="B40" s="3">
        <f t="shared" si="11"/>
        <v>18.062689585439834</v>
      </c>
      <c r="C40" s="3">
        <f t="shared" si="12"/>
        <v>45.913557319886465</v>
      </c>
      <c r="D40" s="3">
        <f t="shared" si="8"/>
        <v>1396.5373684798801</v>
      </c>
      <c r="E40" s="3">
        <f t="shared" si="9"/>
        <v>50878.871979753967</v>
      </c>
    </row>
    <row r="41" spans="1:5" x14ac:dyDescent="0.45">
      <c r="A41" s="3">
        <f t="shared" si="10"/>
        <v>1.5885574654533194</v>
      </c>
      <c r="B41" s="3">
        <f t="shared" si="11"/>
        <v>19.062689585439834</v>
      </c>
      <c r="C41" s="3">
        <f t="shared" si="12"/>
        <v>43.664512365176193</v>
      </c>
      <c r="D41" s="3">
        <f t="shared" si="8"/>
        <v>1328.1289177741094</v>
      </c>
      <c r="E41" s="3">
        <f t="shared" si="9"/>
        <v>52207.00089752808</v>
      </c>
    </row>
    <row r="42" spans="1:5" x14ac:dyDescent="0.45">
      <c r="A42" s="3">
        <f t="shared" si="10"/>
        <v>1.6718907987866527</v>
      </c>
      <c r="B42" s="3">
        <f t="shared" si="11"/>
        <v>20.062689585439834</v>
      </c>
      <c r="C42" s="3">
        <f t="shared" si="12"/>
        <v>41.632432019631906</v>
      </c>
      <c r="D42" s="3">
        <f t="shared" si="8"/>
        <v>1266.3198072638038</v>
      </c>
      <c r="E42" s="3">
        <f t="shared" si="9"/>
        <v>53473.320704791884</v>
      </c>
    </row>
    <row r="43" spans="1:5" x14ac:dyDescent="0.45">
      <c r="A43" s="3">
        <f t="shared" si="10"/>
        <v>1.755224132119986</v>
      </c>
      <c r="B43" s="3">
        <f t="shared" si="11"/>
        <v>21.062689585439831</v>
      </c>
      <c r="C43" s="3">
        <f t="shared" si="12"/>
        <v>39.787062804098859</v>
      </c>
      <c r="D43" s="3">
        <f t="shared" si="8"/>
        <v>1210.189826958007</v>
      </c>
      <c r="E43" s="3">
        <f t="shared" si="9"/>
        <v>54683.510531749889</v>
      </c>
    </row>
    <row r="44" spans="1:5" x14ac:dyDescent="0.45">
      <c r="A44" s="3">
        <f t="shared" si="10"/>
        <v>1.8385574654533192</v>
      </c>
      <c r="B44" s="3">
        <f t="shared" si="11"/>
        <v>22.062689585439831</v>
      </c>
      <c r="C44" s="3">
        <f t="shared" si="12"/>
        <v>38.103551762394531</v>
      </c>
      <c r="D44" s="3">
        <f t="shared" si="8"/>
        <v>1158.9830327728337</v>
      </c>
      <c r="E44" s="3">
        <f t="shared" si="9"/>
        <v>55842.493564522723</v>
      </c>
    </row>
    <row r="45" spans="1:5" x14ac:dyDescent="0.45">
      <c r="A45" s="3">
        <f t="shared" si="10"/>
        <v>1.9218907987866525</v>
      </c>
      <c r="B45" s="3">
        <f t="shared" si="11"/>
        <v>23.062689585439831</v>
      </c>
      <c r="C45" s="3">
        <f t="shared" si="12"/>
        <v>36.561289744757445</v>
      </c>
      <c r="D45" s="3">
        <f t="shared" si="8"/>
        <v>1112.0725630697057</v>
      </c>
      <c r="E45" s="3">
        <f t="shared" si="9"/>
        <v>56954.566127592429</v>
      </c>
    </row>
    <row r="46" spans="1:5" x14ac:dyDescent="0.45">
      <c r="A46" s="3">
        <f t="shared" si="10"/>
        <v>2.0052241321199857</v>
      </c>
      <c r="B46" s="3">
        <f t="shared" si="11"/>
        <v>24.062689585439827</v>
      </c>
      <c r="C46" s="3">
        <f t="shared" si="12"/>
        <v>35.143040277399855</v>
      </c>
      <c r="D46" s="3">
        <f t="shared" si="8"/>
        <v>1068.9341417709122</v>
      </c>
      <c r="E46" s="3">
        <f t="shared" si="9"/>
        <v>58023.500269363343</v>
      </c>
    </row>
    <row r="47" spans="1:5" x14ac:dyDescent="0.45">
      <c r="A47" s="3">
        <f t="shared" si="10"/>
        <v>2.0885574654533192</v>
      </c>
      <c r="B47" s="3">
        <f t="shared" si="11"/>
        <v>25.062689585439831</v>
      </c>
      <c r="C47" s="3">
        <f t="shared" si="12"/>
        <v>33.834274914191383</v>
      </c>
      <c r="D47" s="3">
        <f t="shared" si="8"/>
        <v>1029.1258619733212</v>
      </c>
      <c r="E47" s="3">
        <f t="shared" si="9"/>
        <v>59052.626131336663</v>
      </c>
    </row>
    <row r="48" spans="1:5" x14ac:dyDescent="0.45">
      <c r="A48" s="3">
        <f t="shared" si="10"/>
        <v>2.1718907987866527</v>
      </c>
      <c r="B48" s="3">
        <f t="shared" si="11"/>
        <v>26.062689585439834</v>
      </c>
      <c r="C48" s="3">
        <f t="shared" si="12"/>
        <v>32.622660075049097</v>
      </c>
      <c r="D48" s="3">
        <f t="shared" si="8"/>
        <v>992.27257728274344</v>
      </c>
      <c r="E48" s="3">
        <f t="shared" si="9"/>
        <v>60044.89870861941</v>
      </c>
    </row>
    <row r="49" spans="1:5" x14ac:dyDescent="0.45">
      <c r="A49" s="3">
        <f t="shared" si="10"/>
        <v>2.2552241321199862</v>
      </c>
      <c r="B49" s="3">
        <f t="shared" si="11"/>
        <v>27.062689585439834</v>
      </c>
      <c r="C49" s="3">
        <f t="shared" si="12"/>
        <v>31.497656516355335</v>
      </c>
      <c r="D49" s="3">
        <f t="shared" si="8"/>
        <v>958.05371903914147</v>
      </c>
      <c r="E49" s="3">
        <f t="shared" si="9"/>
        <v>61002.952427658551</v>
      </c>
    </row>
    <row r="50" spans="1:5" x14ac:dyDescent="0.45">
      <c r="A50" s="3">
        <f t="shared" si="10"/>
        <v>2.3385574654533197</v>
      </c>
      <c r="B50" s="3">
        <f t="shared" si="11"/>
        <v>28.062689585439834</v>
      </c>
      <c r="C50" s="3">
        <f t="shared" si="12"/>
        <v>30.450203575360582</v>
      </c>
      <c r="D50" s="3">
        <f t="shared" si="8"/>
        <v>926.19369208388446</v>
      </c>
      <c r="E50" s="3">
        <f t="shared" si="9"/>
        <v>61929.146119742436</v>
      </c>
    </row>
    <row r="51" spans="1:5" x14ac:dyDescent="0.45">
      <c r="A51" s="3">
        <f t="shared" si="10"/>
        <v>2.4218907987866531</v>
      </c>
      <c r="B51" s="3">
        <f t="shared" si="11"/>
        <v>29.062689585439838</v>
      </c>
      <c r="C51" s="3">
        <f t="shared" si="12"/>
        <v>29.47246794325341</v>
      </c>
      <c r="D51" s="3">
        <f t="shared" si="8"/>
        <v>896.45423327395793</v>
      </c>
      <c r="E51" s="3">
        <f t="shared" si="9"/>
        <v>62825.600353016394</v>
      </c>
    </row>
    <row r="52" spans="1:5" x14ac:dyDescent="0.45">
      <c r="A52" s="3">
        <f t="shared" si="10"/>
        <v>2.5052241321199866</v>
      </c>
      <c r="B52" s="3">
        <f t="shared" si="11"/>
        <v>30.062689585439841</v>
      </c>
      <c r="C52" s="3">
        <f t="shared" si="12"/>
        <v>28.557642069722547</v>
      </c>
      <c r="D52" s="3">
        <f t="shared" si="8"/>
        <v>868.62827962072754</v>
      </c>
      <c r="E52" s="3">
        <f t="shared" si="9"/>
        <v>63694.228632637125</v>
      </c>
    </row>
    <row r="53" spans="1:5" x14ac:dyDescent="0.45">
      <c r="A53" s="3">
        <f t="shared" si="10"/>
        <v>2.5885574654533201</v>
      </c>
      <c r="B53" s="3">
        <f t="shared" si="11"/>
        <v>31.062689585439841</v>
      </c>
      <c r="C53" s="3">
        <f t="shared" si="12"/>
        <v>27.699781110330612</v>
      </c>
      <c r="D53" s="3">
        <f t="shared" si="8"/>
        <v>842.53500877255613</v>
      </c>
      <c r="E53" s="3">
        <f t="shared" si="9"/>
        <v>64536.763641409678</v>
      </c>
    </row>
    <row r="54" spans="1:5" x14ac:dyDescent="0.45">
      <c r="A54" s="3">
        <f t="shared" si="10"/>
        <v>2.6718907987866536</v>
      </c>
      <c r="B54" s="3">
        <f t="shared" si="11"/>
        <v>32.062689585439841</v>
      </c>
      <c r="C54" s="3">
        <f t="shared" si="12"/>
        <v>26.893670074344161</v>
      </c>
      <c r="D54" s="3">
        <f t="shared" si="8"/>
        <v>818.01579809463499</v>
      </c>
      <c r="E54" s="3">
        <f t="shared" si="9"/>
        <v>65354.779439504309</v>
      </c>
    </row>
    <row r="55" spans="1:5" x14ac:dyDescent="0.45">
      <c r="A55" s="3">
        <f t="shared" si="10"/>
        <v>2.7552241321199871</v>
      </c>
      <c r="B55" s="3">
        <f t="shared" si="11"/>
        <v>33.062689585439841</v>
      </c>
      <c r="C55" s="3">
        <f t="shared" si="12"/>
        <v>26.134714834245361</v>
      </c>
      <c r="D55" s="3">
        <f t="shared" si="8"/>
        <v>794.93090954162983</v>
      </c>
      <c r="E55" s="3">
        <f t="shared" si="9"/>
        <v>66149.710349045941</v>
      </c>
    </row>
    <row r="56" spans="1:5" x14ac:dyDescent="0.45">
      <c r="A56" s="3">
        <f t="shared" si="10"/>
        <v>2.8385574654533205</v>
      </c>
      <c r="B56" s="3">
        <f t="shared" si="11"/>
        <v>34.062689585439848</v>
      </c>
      <c r="C56" s="3">
        <f t="shared" si="12"/>
        <v>25.41885213578972</v>
      </c>
      <c r="D56" s="3">
        <f t="shared" si="8"/>
        <v>773.15675246360399</v>
      </c>
      <c r="E56" s="3">
        <f t="shared" si="9"/>
        <v>66922.867101509546</v>
      </c>
    </row>
    <row r="57" spans="1:5" x14ac:dyDescent="0.45">
      <c r="A57" s="3">
        <f t="shared" si="10"/>
        <v>2.921890798786654</v>
      </c>
      <c r="B57" s="3">
        <f t="shared" si="11"/>
        <v>35.062689585439848</v>
      </c>
      <c r="C57" s="3">
        <f t="shared" si="12"/>
        <v>24.742474848305317</v>
      </c>
      <c r="D57" s="3">
        <f t="shared" si="8"/>
        <v>752.58360996928673</v>
      </c>
      <c r="E57" s="3">
        <f t="shared" si="9"/>
        <v>67675.450711478828</v>
      </c>
    </row>
    <row r="58" spans="1:5" x14ac:dyDescent="0.45">
      <c r="A58" s="3">
        <f t="shared" si="10"/>
        <v>3.0052241321199875</v>
      </c>
      <c r="B58" s="3">
        <f t="shared" si="11"/>
        <v>36.062689585439848</v>
      </c>
      <c r="C58" s="3">
        <f t="shared" si="12"/>
        <v>24.102369522833822</v>
      </c>
      <c r="D58" s="3">
        <f t="shared" si="8"/>
        <v>733.11373965286214</v>
      </c>
      <c r="E58" s="3">
        <f t="shared" si="9"/>
        <v>68408.564451131693</v>
      </c>
    </row>
    <row r="59" spans="1:5" x14ac:dyDescent="0.45">
      <c r="A59" s="3">
        <f t="shared" si="10"/>
        <v>3.088557465453321</v>
      </c>
      <c r="B59" s="3">
        <f t="shared" si="11"/>
        <v>37.062689585439855</v>
      </c>
      <c r="C59" s="3">
        <f t="shared" si="12"/>
        <v>23.49566395390115</v>
      </c>
      <c r="D59" s="3">
        <f t="shared" si="8"/>
        <v>714.65977859782674</v>
      </c>
      <c r="E59" s="3">
        <f t="shared" si="9"/>
        <v>69123.224229729516</v>
      </c>
    </row>
    <row r="60" spans="1:5" x14ac:dyDescent="0.45">
      <c r="A60" s="3">
        <f t="shared" si="10"/>
        <v>3.1718907987866545</v>
      </c>
      <c r="B60" s="3">
        <f t="shared" si="11"/>
        <v>38.062689585439855</v>
      </c>
      <c r="C60" s="3">
        <f t="shared" si="12"/>
        <v>22.919782921340047</v>
      </c>
      <c r="D60" s="3">
        <f t="shared" si="8"/>
        <v>697.14339719075986</v>
      </c>
      <c r="E60" s="3">
        <f t="shared" si="9"/>
        <v>69820.36762692027</v>
      </c>
    </row>
    <row r="61" spans="1:5" x14ac:dyDescent="0.45">
      <c r="A61" s="3">
        <f t="shared" si="10"/>
        <v>3.255224132119988</v>
      </c>
      <c r="B61" s="3">
        <f t="shared" si="11"/>
        <v>39.062689585439855</v>
      </c>
      <c r="C61" s="3">
        <f t="shared" si="12"/>
        <v>22.372410659219039</v>
      </c>
      <c r="D61" s="3">
        <f t="shared" si="8"/>
        <v>680.49415755124573</v>
      </c>
      <c r="E61" s="3">
        <f t="shared" si="9"/>
        <v>70500.861784471519</v>
      </c>
    </row>
    <row r="62" spans="1:5" x14ac:dyDescent="0.45">
      <c r="A62" s="3">
        <f t="shared" si="10"/>
        <v>3.3385574654533214</v>
      </c>
      <c r="B62" s="3">
        <f t="shared" si="11"/>
        <v>40.062689585439855</v>
      </c>
      <c r="C62" s="3">
        <f t="shared" si="12"/>
        <v>21.851458886857582</v>
      </c>
      <c r="D62" s="3">
        <f t="shared" si="8"/>
        <v>664.64854114191814</v>
      </c>
      <c r="E62" s="3">
        <f t="shared" si="9"/>
        <v>71165.510325613432</v>
      </c>
    </row>
    <row r="63" spans="1:5" x14ac:dyDescent="0.45">
      <c r="A63" s="3">
        <f t="shared" si="10"/>
        <v>3.4218907987866549</v>
      </c>
      <c r="B63" s="3">
        <f t="shared" si="11"/>
        <v>41.062689585439855</v>
      </c>
      <c r="C63" s="3">
        <f t="shared" si="12"/>
        <v>21.355039462147872</v>
      </c>
      <c r="D63" s="3">
        <f t="shared" si="8"/>
        <v>649.54911697366447</v>
      </c>
      <c r="E63" s="3">
        <f t="shared" si="9"/>
        <v>71815.059442587095</v>
      </c>
    </row>
    <row r="64" spans="1:5" x14ac:dyDescent="0.45">
      <c r="A64" s="3">
        <f t="shared" si="10"/>
        <v>3.5052241321199884</v>
      </c>
      <c r="B64" s="3">
        <f t="shared" si="11"/>
        <v>42.062689585439863</v>
      </c>
      <c r="C64" s="3">
        <f t="shared" si="12"/>
        <v>20.881440894774173</v>
      </c>
      <c r="D64" s="3">
        <f t="shared" si="8"/>
        <v>635.14382721604773</v>
      </c>
      <c r="E64" s="3">
        <f t="shared" si="9"/>
        <v>72450.20326980314</v>
      </c>
    </row>
    <row r="65" spans="1:5" x14ac:dyDescent="0.45">
      <c r="A65" s="3">
        <f t="shared" si="10"/>
        <v>3.5885574654533219</v>
      </c>
      <c r="B65" s="3">
        <f t="shared" si="11"/>
        <v>43.062689585439863</v>
      </c>
      <c r="C65" s="3">
        <f t="shared" si="12"/>
        <v>20.42910809746995</v>
      </c>
      <c r="D65" s="3">
        <f t="shared" si="8"/>
        <v>621.38537129804433</v>
      </c>
      <c r="E65" s="3">
        <f t="shared" si="9"/>
        <v>73071.588641101189</v>
      </c>
    </row>
    <row r="66" spans="1:5" x14ac:dyDescent="0.45">
      <c r="A66" s="3">
        <f t="shared" si="10"/>
        <v>3.6718907987866554</v>
      </c>
      <c r="B66" s="3">
        <f t="shared" si="11"/>
        <v>44.062689585439863</v>
      </c>
      <c r="C66" s="3">
        <f t="shared" si="12"/>
        <v>19.996624865488887</v>
      </c>
      <c r="D66" s="3">
        <f t="shared" si="8"/>
        <v>608.23067299195361</v>
      </c>
      <c r="E66" s="3">
        <f t="shared" si="9"/>
        <v>73679.81931409314</v>
      </c>
    </row>
    <row r="67" spans="1:5" x14ac:dyDescent="0.45">
      <c r="A67" s="3">
        <f t="shared" si="10"/>
        <v>3.7552241321199888</v>
      </c>
      <c r="B67" s="3">
        <f t="shared" si="11"/>
        <v>45.06268958543987</v>
      </c>
      <c r="C67" s="3">
        <f t="shared" si="12"/>
        <v>19.582698664276563</v>
      </c>
      <c r="D67" s="3">
        <f t="shared" si="8"/>
        <v>595.64041770507879</v>
      </c>
      <c r="E67" s="3">
        <f t="shared" si="9"/>
        <v>74275.459731798212</v>
      </c>
    </row>
    <row r="68" spans="1:5" x14ac:dyDescent="0.45">
      <c r="A68" s="3">
        <f t="shared" si="10"/>
        <v>3.8385574654533223</v>
      </c>
      <c r="B68" s="3">
        <f t="shared" si="11"/>
        <v>46.06268958543987</v>
      </c>
      <c r="C68" s="3">
        <f t="shared" si="12"/>
        <v>19.186147377712356</v>
      </c>
      <c r="D68" s="3">
        <f t="shared" si="8"/>
        <v>583.57864940541754</v>
      </c>
      <c r="E68" s="3">
        <f t="shared" si="9"/>
        <v>74859.038381203631</v>
      </c>
    </row>
    <row r="69" spans="1:5" x14ac:dyDescent="0.45">
      <c r="A69" s="3">
        <f t="shared" si="10"/>
        <v>3.9218907987866558</v>
      </c>
      <c r="B69" s="3">
        <f t="shared" si="11"/>
        <v>47.06268958543987</v>
      </c>
      <c r="C69" s="3">
        <f t="shared" si="12"/>
        <v>18.805887727924883</v>
      </c>
      <c r="D69" s="3">
        <f t="shared" si="8"/>
        <v>572.01241839104853</v>
      </c>
      <c r="E69" s="3">
        <f t="shared" si="9"/>
        <v>75431.050799594683</v>
      </c>
    </row>
    <row r="70" spans="1:5" x14ac:dyDescent="0.45">
      <c r="A70" s="3">
        <f t="shared" si="10"/>
        <v>4.0052241321199888</v>
      </c>
      <c r="B70" s="3">
        <f t="shared" si="11"/>
        <v>48.06268958543987</v>
      </c>
      <c r="C70" s="3">
        <f t="shared" si="12"/>
        <v>18.440925125414772</v>
      </c>
      <c r="D70" s="3">
        <f t="shared" si="8"/>
        <v>560.91147256469935</v>
      </c>
      <c r="E70" s="3">
        <f t="shared" si="9"/>
        <v>75991.962272159377</v>
      </c>
    </row>
    <row r="71" spans="1:5" x14ac:dyDescent="0.45">
      <c r="A71" s="3">
        <f t="shared" si="10"/>
        <v>4.0885574654533219</v>
      </c>
      <c r="B71" s="3">
        <f t="shared" si="11"/>
        <v>49.062689585439863</v>
      </c>
      <c r="C71" s="3">
        <f t="shared" si="12"/>
        <v>18.090344747252011</v>
      </c>
      <c r="D71" s="3">
        <f t="shared" si="8"/>
        <v>550.24798606224874</v>
      </c>
      <c r="E71" s="3">
        <f t="shared" si="9"/>
        <v>76542.210258221632</v>
      </c>
    </row>
    <row r="72" spans="1:5" x14ac:dyDescent="0.45">
      <c r="A72" s="3">
        <f t="shared" si="10"/>
        <v>4.1718907987866549</v>
      </c>
      <c r="B72" s="3">
        <f t="shared" si="11"/>
        <v>50.062689585439855</v>
      </c>
      <c r="C72" s="3">
        <f t="shared" si="12"/>
        <v>17.753303673180092</v>
      </c>
      <c r="D72" s="3">
        <f t="shared" si="8"/>
        <v>539.99632005922786</v>
      </c>
      <c r="E72" s="3">
        <f t="shared" si="9"/>
        <v>77082.206578280864</v>
      </c>
    </row>
    <row r="73" spans="1:5" x14ac:dyDescent="0.45">
      <c r="A73" s="3">
        <f t="shared" si="10"/>
        <v>4.255224132119988</v>
      </c>
      <c r="B73" s="3">
        <f t="shared" si="11"/>
        <v>51.062689585439855</v>
      </c>
      <c r="C73" s="3">
        <f t="shared" si="12"/>
        <v>17.429023935911417</v>
      </c>
      <c r="D73" s="3">
        <f t="shared" si="8"/>
        <v>530.13281138397224</v>
      </c>
      <c r="E73" s="3">
        <f t="shared" si="9"/>
        <v>77612.339389664834</v>
      </c>
    </row>
    <row r="74" spans="1:5" x14ac:dyDescent="0.45">
      <c r="A74" s="3">
        <f t="shared" si="10"/>
        <v>4.338557465453321</v>
      </c>
      <c r="B74" s="3">
        <f t="shared" si="11"/>
        <v>52.062689585439855</v>
      </c>
      <c r="C74" s="3">
        <f t="shared" si="12"/>
        <v>17.116786363808739</v>
      </c>
      <c r="D74" s="3">
        <f t="shared" si="8"/>
        <v>520.63558523251584</v>
      </c>
      <c r="E74" s="3">
        <f t="shared" si="9"/>
        <v>78132.974974897355</v>
      </c>
    </row>
    <row r="75" spans="1:5" x14ac:dyDescent="0.45">
      <c r="A75" s="3">
        <f t="shared" si="10"/>
        <v>4.421890798786654</v>
      </c>
      <c r="B75" s="3">
        <f t="shared" si="11"/>
        <v>53.062689585439848</v>
      </c>
      <c r="C75" s="3">
        <f t="shared" si="12"/>
        <v>16.815925112367772</v>
      </c>
      <c r="D75" s="3">
        <f t="shared" si="8"/>
        <v>511.48438883451973</v>
      </c>
      <c r="E75" s="3">
        <f t="shared" si="9"/>
        <v>78644.459363731876</v>
      </c>
    </row>
    <row r="76" spans="1:5" x14ac:dyDescent="0.45">
      <c r="A76" s="3">
        <f t="shared" si="10"/>
        <v>4.5052241321199871</v>
      </c>
      <c r="B76" s="3">
        <f t="shared" si="11"/>
        <v>54.062689585439841</v>
      </c>
      <c r="C76" s="3">
        <f t="shared" si="12"/>
        <v>16.525822796123915</v>
      </c>
      <c r="D76" s="3">
        <f t="shared" si="8"/>
        <v>502.66044338210241</v>
      </c>
      <c r="E76" s="3">
        <f t="shared" si="9"/>
        <v>79147.119807113981</v>
      </c>
    </row>
    <row r="77" spans="1:5" x14ac:dyDescent="0.45">
      <c r="A77" s="3">
        <f t="shared" si="10"/>
        <v>4.5885574654533201</v>
      </c>
      <c r="B77" s="3">
        <f t="shared" si="11"/>
        <v>55.062689585439841</v>
      </c>
      <c r="C77" s="3">
        <f t="shared" si="12"/>
        <v>16.245906145345117</v>
      </c>
      <c r="D77" s="3">
        <f t="shared" si="8"/>
        <v>494.146311920914</v>
      </c>
      <c r="E77" s="3">
        <f t="shared" si="9"/>
        <v>79641.266119034888</v>
      </c>
    </row>
    <row r="78" spans="1:5" x14ac:dyDescent="0.45">
      <c r="A78" s="3">
        <f t="shared" si="10"/>
        <v>4.6718907987866531</v>
      </c>
      <c r="B78" s="3">
        <f t="shared" si="11"/>
        <v>56.062689585439841</v>
      </c>
      <c r="C78" s="3">
        <f t="shared" si="12"/>
        <v>15.975642122581485</v>
      </c>
      <c r="D78" s="3">
        <f t="shared" si="8"/>
        <v>485.92578122852018</v>
      </c>
      <c r="E78" s="3">
        <f t="shared" si="9"/>
        <v>80127.191900263409</v>
      </c>
    </row>
    <row r="79" spans="1:5" x14ac:dyDescent="0.45">
      <c r="A79" s="3">
        <f t="shared" si="10"/>
        <v>4.7552241321199862</v>
      </c>
      <c r="B79" s="3">
        <f t="shared" si="11"/>
        <v>57.062689585439834</v>
      </c>
      <c r="C79" s="3">
        <f t="shared" si="12"/>
        <v>15.714534443173346</v>
      </c>
      <c r="D79" s="3">
        <f t="shared" si="8"/>
        <v>477.98375597985597</v>
      </c>
      <c r="E79" s="3">
        <f t="shared" si="9"/>
        <v>80605.175656243271</v>
      </c>
    </row>
    <row r="80" spans="1:5" x14ac:dyDescent="0.45">
      <c r="A80" s="3">
        <f t="shared" si="10"/>
        <v>4.8385574654533192</v>
      </c>
      <c r="B80" s="3">
        <f t="shared" si="11"/>
        <v>58.062689585439827</v>
      </c>
      <c r="C80" s="3">
        <f t="shared" si="12"/>
        <v>15.462120451460358</v>
      </c>
      <c r="D80" s="3">
        <f t="shared" si="8"/>
        <v>470.30616373191924</v>
      </c>
      <c r="E80" s="3">
        <f t="shared" si="9"/>
        <v>81075.48181997519</v>
      </c>
    </row>
    <row r="81" spans="1:5" x14ac:dyDescent="0.45">
      <c r="A81" s="3">
        <f t="shared" si="10"/>
        <v>4.9218907987866523</v>
      </c>
      <c r="B81" s="3">
        <f t="shared" si="11"/>
        <v>59.062689585439827</v>
      </c>
      <c r="C81" s="3">
        <f t="shared" si="12"/>
        <v>15.217968310919023</v>
      </c>
      <c r="D81" s="3">
        <f t="shared" si="8"/>
        <v>462.87986945712032</v>
      </c>
      <c r="E81" s="3">
        <f t="shared" si="9"/>
        <v>81538.361689432306</v>
      </c>
    </row>
    <row r="82" spans="1:5" x14ac:dyDescent="0.45">
      <c r="A82" s="3">
        <f t="shared" si="10"/>
        <v>5.0052241321199853</v>
      </c>
      <c r="B82" s="3">
        <f t="shared" si="11"/>
        <v>60.062689585439827</v>
      </c>
      <c r="C82" s="3">
        <f t="shared" si="12"/>
        <v>14.981674471976095</v>
      </c>
      <c r="D82" s="3">
        <f t="shared" ref="D82:D145" si="13">C82*(365/12)</f>
        <v>455.69259852260626</v>
      </c>
      <c r="E82" s="3">
        <f t="shared" si="9"/>
        <v>81994.054287954918</v>
      </c>
    </row>
    <row r="83" spans="1:5" x14ac:dyDescent="0.45">
      <c r="A83" s="3">
        <f t="shared" si="10"/>
        <v>5.0885574654533183</v>
      </c>
      <c r="B83" s="3">
        <f t="shared" si="11"/>
        <v>61.06268958543982</v>
      </c>
      <c r="C83" s="3">
        <f t="shared" si="12"/>
        <v>14.752861385956795</v>
      </c>
      <c r="D83" s="3">
        <f t="shared" si="13"/>
        <v>448.73286715618588</v>
      </c>
      <c r="E83" s="3">
        <f t="shared" ref="E83:E146" si="14">E82+D83</f>
        <v>82442.787155111102</v>
      </c>
    </row>
    <row r="84" spans="1:5" x14ac:dyDescent="0.45">
      <c r="A84" s="3">
        <f t="shared" si="10"/>
        <v>5.1718907987866514</v>
      </c>
      <c r="B84" s="3">
        <f t="shared" si="11"/>
        <v>62.062689585439813</v>
      </c>
      <c r="C84" s="3">
        <f t="shared" si="12"/>
        <v>14.531175437660563</v>
      </c>
      <c r="D84" s="3">
        <f t="shared" si="13"/>
        <v>441.98991956217549</v>
      </c>
      <c r="E84" s="3">
        <f t="shared" si="14"/>
        <v>82884.777074673271</v>
      </c>
    </row>
    <row r="85" spans="1:5" x14ac:dyDescent="0.45">
      <c r="A85" s="3">
        <f t="shared" si="10"/>
        <v>5.2552241321199844</v>
      </c>
      <c r="B85" s="3">
        <f t="shared" si="11"/>
        <v>63.062689585439813</v>
      </c>
      <c r="C85" s="3">
        <f t="shared" si="12"/>
        <v>14.316285072518946</v>
      </c>
      <c r="D85" s="3">
        <f t="shared" si="13"/>
        <v>435.45367095578462</v>
      </c>
      <c r="E85" s="3">
        <f t="shared" si="14"/>
        <v>83320.230745629058</v>
      </c>
    </row>
    <row r="86" spans="1:5" x14ac:dyDescent="0.45">
      <c r="A86" s="3">
        <f t="shared" si="10"/>
        <v>5.3385574654533174</v>
      </c>
      <c r="B86" s="3">
        <f t="shared" si="11"/>
        <v>64.062689585439813</v>
      </c>
      <c r="C86" s="3">
        <f t="shared" si="12"/>
        <v>14.107879097268537</v>
      </c>
      <c r="D86" s="3">
        <f t="shared" si="13"/>
        <v>429.11465587525134</v>
      </c>
      <c r="E86" s="3">
        <f t="shared" si="14"/>
        <v>83749.34540150431</v>
      </c>
    </row>
    <row r="87" spans="1:5" x14ac:dyDescent="0.45">
      <c r="A87" s="3">
        <f t="shared" si="10"/>
        <v>5.4218907987866505</v>
      </c>
      <c r="B87" s="3">
        <f t="shared" si="11"/>
        <v>65.062689585439813</v>
      </c>
      <c r="C87" s="3">
        <f t="shared" si="12"/>
        <v>13.905665135642371</v>
      </c>
      <c r="D87" s="3">
        <f t="shared" si="13"/>
        <v>422.96398120912215</v>
      </c>
      <c r="E87" s="3">
        <f t="shared" si="14"/>
        <v>84172.309382713429</v>
      </c>
    </row>
    <row r="88" spans="1:5" x14ac:dyDescent="0.45">
      <c r="A88" s="3">
        <f t="shared" si="10"/>
        <v>5.5052241321199835</v>
      </c>
      <c r="B88" s="3">
        <f t="shared" si="11"/>
        <v>66.062689585439799</v>
      </c>
      <c r="C88" s="3">
        <f t="shared" si="12"/>
        <v>13.709368222804653</v>
      </c>
      <c r="D88" s="3">
        <f t="shared" si="13"/>
        <v>416.99328344364153</v>
      </c>
      <c r="E88" s="3">
        <f t="shared" si="14"/>
        <v>84589.302666157077</v>
      </c>
    </row>
    <row r="89" spans="1:5" x14ac:dyDescent="0.45">
      <c r="A89" s="3">
        <f t="shared" si="10"/>
        <v>5.5885574654533166</v>
      </c>
      <c r="B89" s="3">
        <f t="shared" si="11"/>
        <v>67.062689585439799</v>
      </c>
      <c r="C89" s="3">
        <f t="shared" si="12"/>
        <v>13.518729524179966</v>
      </c>
      <c r="D89" s="3">
        <f t="shared" si="13"/>
        <v>411.19468969380728</v>
      </c>
      <c r="E89" s="3">
        <f t="shared" si="14"/>
        <v>85000.497355850879</v>
      </c>
    </row>
    <row r="90" spans="1:5" x14ac:dyDescent="0.45">
      <c r="A90" s="3">
        <f t="shared" si="10"/>
        <v>5.6718907987866496</v>
      </c>
      <c r="B90" s="3">
        <f t="shared" si="11"/>
        <v>68.062689585439799</v>
      </c>
      <c r="C90" s="3">
        <f t="shared" si="12"/>
        <v>13.333505166001077</v>
      </c>
      <c r="D90" s="3">
        <f t="shared" si="13"/>
        <v>405.56078213253278</v>
      </c>
      <c r="E90" s="3">
        <f t="shared" si="14"/>
        <v>85406.058137983418</v>
      </c>
    </row>
    <row r="91" spans="1:5" x14ac:dyDescent="0.45">
      <c r="A91" s="3">
        <f t="shared" si="10"/>
        <v>5.7552241321199826</v>
      </c>
      <c r="B91" s="3">
        <f t="shared" si="11"/>
        <v>69.062689585439784</v>
      </c>
      <c r="C91" s="3">
        <f t="shared" si="12"/>
        <v>13.153465166356179</v>
      </c>
      <c r="D91" s="3">
        <f t="shared" si="13"/>
        <v>400.08456547666714</v>
      </c>
      <c r="E91" s="3">
        <f t="shared" si="14"/>
        <v>85806.142703460078</v>
      </c>
    </row>
    <row r="92" spans="1:5" x14ac:dyDescent="0.45">
      <c r="A92" s="3">
        <f t="shared" si="10"/>
        <v>5.8385574654533157</v>
      </c>
      <c r="B92" s="3">
        <f t="shared" si="11"/>
        <v>70.062689585439784</v>
      </c>
      <c r="C92" s="3">
        <f t="shared" si="12"/>
        <v>12.978392456787006</v>
      </c>
      <c r="D92" s="3">
        <f t="shared" si="13"/>
        <v>394.75943722727146</v>
      </c>
      <c r="E92" s="3">
        <f t="shared" si="14"/>
        <v>86200.902140687351</v>
      </c>
    </row>
    <row r="93" spans="1:5" x14ac:dyDescent="0.45">
      <c r="A93" s="3">
        <f t="shared" si="10"/>
        <v>5.9218907987866487</v>
      </c>
      <c r="B93" s="3">
        <f t="shared" si="11"/>
        <v>71.062689585439784</v>
      </c>
      <c r="C93" s="3">
        <f t="shared" si="12"/>
        <v>12.808081985600456</v>
      </c>
      <c r="D93" s="3">
        <f t="shared" si="13"/>
        <v>389.57916039534723</v>
      </c>
      <c r="E93" s="3">
        <f t="shared" si="14"/>
        <v>86590.481301082691</v>
      </c>
    </row>
    <row r="94" spans="1:5" x14ac:dyDescent="0.45">
      <c r="A94" s="3">
        <f t="shared" si="10"/>
        <v>6.0052241321199817</v>
      </c>
      <c r="B94" s="3">
        <f t="shared" si="11"/>
        <v>72.062689585439784</v>
      </c>
      <c r="C94" s="3">
        <f t="shared" si="12"/>
        <v>12.642339895029579</v>
      </c>
      <c r="D94" s="3">
        <f t="shared" si="13"/>
        <v>384.53783847381641</v>
      </c>
      <c r="E94" s="3">
        <f t="shared" si="14"/>
        <v>86975.019139556505</v>
      </c>
    </row>
    <row r="95" spans="1:5" x14ac:dyDescent="0.45">
      <c r="A95" s="3">
        <f t="shared" ref="A95:A158" si="15">A94+(1/12)</f>
        <v>6.0885574654533148</v>
      </c>
      <c r="B95" s="3">
        <f t="shared" ref="B95:B158" si="16">A95*12</f>
        <v>73.062689585439784</v>
      </c>
      <c r="C95" s="3">
        <f t="shared" ref="C95:C158" si="17">$B$4*(B95^$B$5)</f>
        <v>12.480982765233662</v>
      </c>
      <c r="D95" s="3">
        <f t="shared" si="13"/>
        <v>379.6298924425239</v>
      </c>
      <c r="E95" s="3">
        <f t="shared" si="14"/>
        <v>87354.649031999026</v>
      </c>
    </row>
    <row r="96" spans="1:5" x14ac:dyDescent="0.45">
      <c r="A96" s="3">
        <f t="shared" si="15"/>
        <v>6.1718907987866478</v>
      </c>
      <c r="B96" s="3">
        <f t="shared" si="16"/>
        <v>74.06268958543977</v>
      </c>
      <c r="C96" s="3">
        <f t="shared" si="17"/>
        <v>12.32383691887879</v>
      </c>
      <c r="D96" s="3">
        <f t="shared" si="13"/>
        <v>374.85003961589655</v>
      </c>
      <c r="E96" s="3">
        <f t="shared" si="14"/>
        <v>87729.499071614919</v>
      </c>
    </row>
    <row r="97" spans="1:5" x14ac:dyDescent="0.45">
      <c r="A97" s="3">
        <f t="shared" si="15"/>
        <v>6.2552241321199809</v>
      </c>
      <c r="B97" s="3">
        <f t="shared" si="16"/>
        <v>75.06268958543977</v>
      </c>
      <c r="C97" s="3">
        <f t="shared" si="17"/>
        <v>12.170737780701495</v>
      </c>
      <c r="D97" s="3">
        <f t="shared" si="13"/>
        <v>370.19327416300382</v>
      </c>
      <c r="E97" s="3">
        <f t="shared" si="14"/>
        <v>88099.692345777919</v>
      </c>
    </row>
    <row r="98" spans="1:5" x14ac:dyDescent="0.45">
      <c r="A98" s="3">
        <f t="shared" si="15"/>
        <v>6.3385574654533139</v>
      </c>
      <c r="B98" s="3">
        <f t="shared" si="16"/>
        <v>76.06268958543977</v>
      </c>
      <c r="C98" s="3">
        <f t="shared" si="17"/>
        <v>12.021529287042206</v>
      </c>
      <c r="D98" s="3">
        <f t="shared" si="13"/>
        <v>365.65484914753381</v>
      </c>
      <c r="E98" s="3">
        <f t="shared" si="14"/>
        <v>88465.34719492546</v>
      </c>
    </row>
    <row r="99" spans="1:5" x14ac:dyDescent="0.45">
      <c r="A99" s="3">
        <f t="shared" si="15"/>
        <v>6.4218907987866469</v>
      </c>
      <c r="B99" s="3">
        <f t="shared" si="16"/>
        <v>77.062689585439756</v>
      </c>
      <c r="C99" s="3">
        <f t="shared" si="17"/>
        <v>11.876063340851779</v>
      </c>
      <c r="D99" s="3">
        <f t="shared" si="13"/>
        <v>361.23025995090831</v>
      </c>
      <c r="E99" s="3">
        <f t="shared" si="14"/>
        <v>88826.577454876373</v>
      </c>
    </row>
    <row r="100" spans="1:5" x14ac:dyDescent="0.45">
      <c r="A100" s="3">
        <f t="shared" si="15"/>
        <v>6.50522413211998</v>
      </c>
      <c r="B100" s="3">
        <f t="shared" si="16"/>
        <v>78.062689585439756</v>
      </c>
      <c r="C100" s="3">
        <f t="shared" si="17"/>
        <v>11.734199308130824</v>
      </c>
      <c r="D100" s="3">
        <f t="shared" si="13"/>
        <v>356.91522895564594</v>
      </c>
      <c r="E100" s="3">
        <f t="shared" si="14"/>
        <v>89183.492683832024</v>
      </c>
    </row>
    <row r="101" spans="1:5" x14ac:dyDescent="0.45">
      <c r="A101" s="3">
        <f t="shared" si="15"/>
        <v>6.588557465453313</v>
      </c>
      <c r="B101" s="3">
        <f t="shared" si="16"/>
        <v>79.062689585439756</v>
      </c>
      <c r="C101" s="3">
        <f t="shared" si="17"/>
        <v>11.595803552167947</v>
      </c>
      <c r="D101" s="3">
        <f t="shared" si="13"/>
        <v>352.70569137844171</v>
      </c>
      <c r="E101" s="3">
        <f t="shared" si="14"/>
        <v>89536.198375210472</v>
      </c>
    </row>
    <row r="102" spans="1:5" x14ac:dyDescent="0.45">
      <c r="A102" s="3">
        <f t="shared" si="15"/>
        <v>6.671890798786646</v>
      </c>
      <c r="B102" s="3">
        <f t="shared" si="16"/>
        <v>80.062689585439756</v>
      </c>
      <c r="C102" s="3">
        <f t="shared" si="17"/>
        <v>11.460749002302375</v>
      </c>
      <c r="D102" s="3">
        <f t="shared" si="13"/>
        <v>348.59778215336394</v>
      </c>
      <c r="E102" s="3">
        <f t="shared" si="14"/>
        <v>89884.796157363831</v>
      </c>
    </row>
    <row r="103" spans="1:5" x14ac:dyDescent="0.45">
      <c r="A103" s="3">
        <f t="shared" si="15"/>
        <v>6.7552241321199791</v>
      </c>
      <c r="B103" s="3">
        <f t="shared" si="16"/>
        <v>81.062689585439756</v>
      </c>
      <c r="C103" s="3">
        <f t="shared" si="17"/>
        <v>11.328914754257504</v>
      </c>
      <c r="D103" s="3">
        <f t="shared" si="13"/>
        <v>344.58782377533242</v>
      </c>
      <c r="E103" s="3">
        <f t="shared" si="14"/>
        <v>90229.383981139166</v>
      </c>
    </row>
    <row r="104" spans="1:5" x14ac:dyDescent="0.45">
      <c r="A104" s="3">
        <f t="shared" si="15"/>
        <v>6.8385574654533121</v>
      </c>
      <c r="B104" s="3">
        <f t="shared" si="16"/>
        <v>82.062689585439742</v>
      </c>
      <c r="C104" s="3">
        <f t="shared" si="17"/>
        <v>11.200185699377407</v>
      </c>
      <c r="D104" s="3">
        <f t="shared" si="13"/>
        <v>340.67231502272949</v>
      </c>
      <c r="E104" s="3">
        <f t="shared" si="14"/>
        <v>90570.0562961619</v>
      </c>
    </row>
    <row r="105" spans="1:5" x14ac:dyDescent="0.45">
      <c r="A105" s="3">
        <f t="shared" si="15"/>
        <v>6.9218907987866451</v>
      </c>
      <c r="B105" s="3">
        <f t="shared" si="16"/>
        <v>83.062689585439742</v>
      </c>
      <c r="C105" s="3">
        <f t="shared" si="17"/>
        <v>11.074452180353081</v>
      </c>
      <c r="D105" s="3">
        <f t="shared" si="13"/>
        <v>336.84792048573956</v>
      </c>
      <c r="E105" s="3">
        <f t="shared" si="14"/>
        <v>90906.904216647643</v>
      </c>
    </row>
    <row r="106" spans="1:5" x14ac:dyDescent="0.45">
      <c r="A106" s="3">
        <f t="shared" si="15"/>
        <v>7.0052241321199782</v>
      </c>
      <c r="B106" s="3">
        <f t="shared" si="16"/>
        <v>84.062689585439742</v>
      </c>
      <c r="C106" s="3">
        <f t="shared" si="17"/>
        <v>10.951609671253077</v>
      </c>
      <c r="D106" s="3">
        <f t="shared" si="13"/>
        <v>333.11146083394777</v>
      </c>
      <c r="E106" s="3">
        <f t="shared" si="14"/>
        <v>91240.015677481584</v>
      </c>
    </row>
    <row r="107" spans="1:5" x14ac:dyDescent="0.45">
      <c r="A107" s="3">
        <f t="shared" si="15"/>
        <v>7.0885574654533112</v>
      </c>
      <c r="B107" s="3">
        <f t="shared" si="16"/>
        <v>85.062689585439728</v>
      </c>
      <c r="C107" s="3">
        <f t="shared" si="17"/>
        <v>10.831558479877252</v>
      </c>
      <c r="D107" s="3">
        <f t="shared" si="13"/>
        <v>329.4599037629331</v>
      </c>
      <c r="E107" s="3">
        <f t="shared" si="14"/>
        <v>91569.475581244522</v>
      </c>
    </row>
    <row r="108" spans="1:5" x14ac:dyDescent="0.45">
      <c r="A108" s="3">
        <f t="shared" si="15"/>
        <v>7.1718907987866443</v>
      </c>
      <c r="B108" s="3">
        <f t="shared" si="16"/>
        <v>86.062689585439728</v>
      </c>
      <c r="C108" s="3">
        <f t="shared" si="17"/>
        <v>10.714203470634567</v>
      </c>
      <c r="D108" s="3">
        <f t="shared" si="13"/>
        <v>325.89035556513477</v>
      </c>
      <c r="E108" s="3">
        <f t="shared" si="14"/>
        <v>91895.365936809656</v>
      </c>
    </row>
    <row r="109" spans="1:5" x14ac:dyDescent="0.45">
      <c r="A109" s="3">
        <f t="shared" si="15"/>
        <v>7.2552241321199773</v>
      </c>
      <c r="B109" s="3">
        <f t="shared" si="16"/>
        <v>87.062689585439728</v>
      </c>
      <c r="C109" s="3">
        <f t="shared" si="17"/>
        <v>10.599453806310406</v>
      </c>
      <c r="D109" s="3">
        <f t="shared" si="13"/>
        <v>322.40005327527484</v>
      </c>
      <c r="E109" s="3">
        <f t="shared" si="14"/>
        <v>92217.765990084925</v>
      </c>
    </row>
    <row r="110" spans="1:5" x14ac:dyDescent="0.45">
      <c r="A110" s="3">
        <f t="shared" si="15"/>
        <v>7.3385574654533103</v>
      </c>
      <c r="B110" s="3">
        <f t="shared" si="16"/>
        <v>88.062689585439728</v>
      </c>
      <c r="C110" s="3">
        <f t="shared" si="17"/>
        <v>10.487222707235683</v>
      </c>
      <c r="D110" s="3">
        <f t="shared" si="13"/>
        <v>318.98635734508537</v>
      </c>
      <c r="E110" s="3">
        <f t="shared" si="14"/>
        <v>92536.752347430011</v>
      </c>
    </row>
    <row r="111" spans="1:5" x14ac:dyDescent="0.45">
      <c r="A111" s="3">
        <f t="shared" si="15"/>
        <v>7.4218907987866434</v>
      </c>
      <c r="B111" s="3">
        <f t="shared" si="16"/>
        <v>89.062689585439728</v>
      </c>
      <c r="C111" s="3">
        <f t="shared" si="17"/>
        <v>10.377427226502917</v>
      </c>
      <c r="D111" s="3">
        <f t="shared" si="13"/>
        <v>315.64674480613041</v>
      </c>
      <c r="E111" s="3">
        <f t="shared" si="14"/>
        <v>92852.399092236141</v>
      </c>
    </row>
    <row r="112" spans="1:5" x14ac:dyDescent="0.45">
      <c r="A112" s="3">
        <f t="shared" si="15"/>
        <v>7.5052241321199764</v>
      </c>
      <c r="B112" s="3">
        <f t="shared" si="16"/>
        <v>90.062689585439713</v>
      </c>
      <c r="C112" s="3">
        <f t="shared" si="17"/>
        <v>10.269988039993605</v>
      </c>
      <c r="D112" s="3">
        <f t="shared" si="13"/>
        <v>312.3788028831388</v>
      </c>
      <c r="E112" s="3">
        <f t="shared" si="14"/>
        <v>93164.777895119274</v>
      </c>
    </row>
    <row r="113" spans="1:5" x14ac:dyDescent="0.45">
      <c r="A113" s="3">
        <f t="shared" si="15"/>
        <v>7.5885574654533094</v>
      </c>
      <c r="B113" s="3">
        <f t="shared" si="16"/>
        <v>91.062689585439713</v>
      </c>
      <c r="C113" s="3">
        <f t="shared" si="17"/>
        <v>10.164829250088889</v>
      </c>
      <c r="D113" s="3">
        <f t="shared" si="13"/>
        <v>309.18022302353705</v>
      </c>
      <c r="E113" s="3">
        <f t="shared" si="14"/>
        <v>93473.958118142808</v>
      </c>
    </row>
    <row r="114" spans="1:5" x14ac:dyDescent="0.45">
      <c r="A114" s="3">
        <f t="shared" si="15"/>
        <v>7.6718907987866425</v>
      </c>
      <c r="B114" s="3">
        <f t="shared" si="16"/>
        <v>92.062689585439713</v>
      </c>
      <c r="C114" s="3">
        <f t="shared" si="17"/>
        <v>10.061878202033057</v>
      </c>
      <c r="D114" s="3">
        <f t="shared" si="13"/>
        <v>306.04879531183883</v>
      </c>
      <c r="E114" s="3">
        <f t="shared" si="14"/>
        <v>93780.00691345465</v>
      </c>
    </row>
    <row r="115" spans="1:5" x14ac:dyDescent="0.45">
      <c r="A115" s="3">
        <f t="shared" si="15"/>
        <v>7.7552241321199755</v>
      </c>
      <c r="B115" s="3">
        <f t="shared" si="16"/>
        <v>93.062689585439699</v>
      </c>
      <c r="C115" s="3">
        <f t="shared" si="17"/>
        <v>9.9610653120067525</v>
      </c>
      <c r="D115" s="3">
        <f t="shared" si="13"/>
        <v>302.98240324020537</v>
      </c>
      <c r="E115" s="3">
        <f t="shared" si="14"/>
        <v>94082.98931669486</v>
      </c>
    </row>
    <row r="116" spans="1:5" x14ac:dyDescent="0.45">
      <c r="A116" s="3">
        <f t="shared" si="15"/>
        <v>7.8385574654533086</v>
      </c>
      <c r="B116" s="3">
        <f t="shared" si="16"/>
        <v>94.062689585439699</v>
      </c>
      <c r="C116" s="3">
        <f t="shared" si="17"/>
        <v>9.8623239060467895</v>
      </c>
      <c r="D116" s="3">
        <f t="shared" si="13"/>
        <v>299.97901880892317</v>
      </c>
      <c r="E116" s="3">
        <f t="shared" si="14"/>
        <v>94382.968335503785</v>
      </c>
    </row>
    <row r="117" spans="1:5" x14ac:dyDescent="0.45">
      <c r="A117" s="3">
        <f t="shared" si="15"/>
        <v>7.9218907987866416</v>
      </c>
      <c r="B117" s="3">
        <f t="shared" si="16"/>
        <v>95.062689585439699</v>
      </c>
      <c r="C117" s="3">
        <f t="shared" si="17"/>
        <v>9.7655900690212896</v>
      </c>
      <c r="D117" s="3">
        <f t="shared" si="13"/>
        <v>297.03669793273093</v>
      </c>
      <c r="E117" s="3">
        <f t="shared" si="14"/>
        <v>94680.005033436522</v>
      </c>
    </row>
    <row r="118" spans="1:5" x14ac:dyDescent="0.45">
      <c r="A118" s="3">
        <f t="shared" si="15"/>
        <v>8.0052241321199755</v>
      </c>
      <c r="B118" s="3">
        <f t="shared" si="16"/>
        <v>96.062689585439699</v>
      </c>
      <c r="C118" s="3">
        <f t="shared" si="17"/>
        <v>9.6708025029343307</v>
      </c>
      <c r="D118" s="3">
        <f t="shared" si="13"/>
        <v>294.15357613091925</v>
      </c>
      <c r="E118" s="3">
        <f t="shared" si="14"/>
        <v>94974.158609567443</v>
      </c>
    </row>
    <row r="119" spans="1:5" x14ac:dyDescent="0.45">
      <c r="A119" s="3">
        <f t="shared" si="15"/>
        <v>8.0885574654533094</v>
      </c>
      <c r="B119" s="3">
        <f t="shared" si="16"/>
        <v>97.062689585439713</v>
      </c>
      <c r="C119" s="3">
        <f t="shared" si="17"/>
        <v>9.5779023938933552</v>
      </c>
      <c r="D119" s="3">
        <f t="shared" si="13"/>
        <v>291.32786448092293</v>
      </c>
      <c r="E119" s="3">
        <f t="shared" si="14"/>
        <v>95265.486474048361</v>
      </c>
    </row>
    <row r="120" spans="1:5" x14ac:dyDescent="0.45">
      <c r="A120" s="3">
        <f t="shared" si="15"/>
        <v>8.1718907987866434</v>
      </c>
      <c r="B120" s="3">
        <f t="shared" si="16"/>
        <v>98.062689585439728</v>
      </c>
      <c r="C120" s="3">
        <f t="shared" si="17"/>
        <v>9.4868332871271193</v>
      </c>
      <c r="D120" s="3">
        <f t="shared" si="13"/>
        <v>288.55784581678324</v>
      </c>
      <c r="E120" s="3">
        <f t="shared" si="14"/>
        <v>95554.044319865148</v>
      </c>
    </row>
    <row r="121" spans="1:5" x14ac:dyDescent="0.45">
      <c r="A121" s="3">
        <f t="shared" si="15"/>
        <v>8.2552241321199773</v>
      </c>
      <c r="B121" s="3">
        <f t="shared" si="16"/>
        <v>99.062689585439728</v>
      </c>
      <c r="C121" s="3">
        <f t="shared" si="17"/>
        <v>9.3975409694902616</v>
      </c>
      <c r="D121" s="3">
        <f t="shared" si="13"/>
        <v>285.84187115532882</v>
      </c>
      <c r="E121" s="3">
        <f t="shared" si="14"/>
        <v>95839.886191020472</v>
      </c>
    </row>
    <row r="122" spans="1:5" x14ac:dyDescent="0.45">
      <c r="A122" s="3">
        <f t="shared" si="15"/>
        <v>8.3385574654533112</v>
      </c>
      <c r="B122" s="3">
        <f t="shared" si="16"/>
        <v>100.06268958543973</v>
      </c>
      <c r="C122" s="3">
        <f t="shared" si="17"/>
        <v>9.3099733589359026</v>
      </c>
      <c r="D122" s="3">
        <f t="shared" si="13"/>
        <v>283.17835633430036</v>
      </c>
      <c r="E122" s="3">
        <f t="shared" si="14"/>
        <v>96123.064547354777</v>
      </c>
    </row>
    <row r="123" spans="1:5" x14ac:dyDescent="0.45">
      <c r="A123" s="3">
        <f t="shared" si="15"/>
        <v>8.4218907987866451</v>
      </c>
      <c r="B123" s="3">
        <f t="shared" si="16"/>
        <v>101.06268958543974</v>
      </c>
      <c r="C123" s="3">
        <f t="shared" si="17"/>
        <v>9.2240804004779964</v>
      </c>
      <c r="D123" s="3">
        <f t="shared" si="13"/>
        <v>280.56577884787242</v>
      </c>
      <c r="E123" s="3">
        <f t="shared" si="14"/>
        <v>96403.630326202649</v>
      </c>
    </row>
    <row r="124" spans="1:5" x14ac:dyDescent="0.45">
      <c r="A124" s="3">
        <f t="shared" si="15"/>
        <v>8.5052241321199791</v>
      </c>
      <c r="B124" s="3">
        <f t="shared" si="16"/>
        <v>102.06268958543976</v>
      </c>
      <c r="C124" s="3">
        <f t="shared" si="17"/>
        <v>9.1398139682027573</v>
      </c>
      <c r="D124" s="3">
        <f t="shared" si="13"/>
        <v>278.00267486616718</v>
      </c>
      <c r="E124" s="3">
        <f t="shared" si="14"/>
        <v>96681.633001068811</v>
      </c>
    </row>
    <row r="125" spans="1:5" x14ac:dyDescent="0.45">
      <c r="A125" s="3">
        <f t="shared" si="15"/>
        <v>8.588557465453313</v>
      </c>
      <c r="B125" s="3">
        <f t="shared" si="16"/>
        <v>103.06268958543976</v>
      </c>
      <c r="C125" s="3">
        <f t="shared" si="17"/>
        <v>9.0571277729217918</v>
      </c>
      <c r="D125" s="3">
        <f t="shared" si="13"/>
        <v>275.48763642637118</v>
      </c>
      <c r="E125" s="3">
        <f t="shared" si="14"/>
        <v>96957.120637495187</v>
      </c>
    </row>
    <row r="126" spans="1:5" x14ac:dyDescent="0.45">
      <c r="A126" s="3">
        <f t="shared" si="15"/>
        <v>8.6718907987866469</v>
      </c>
      <c r="B126" s="3">
        <f t="shared" si="16"/>
        <v>104.06268958543976</v>
      </c>
      <c r="C126" s="3">
        <f t="shared" si="17"/>
        <v>8.9759772750913083</v>
      </c>
      <c r="D126" s="3">
        <f t="shared" si="13"/>
        <v>273.01930878402732</v>
      </c>
      <c r="E126" s="3">
        <f t="shared" si="14"/>
        <v>97230.139946279218</v>
      </c>
    </row>
    <row r="127" spans="1:5" x14ac:dyDescent="0.45">
      <c r="A127" s="3">
        <f t="shared" si="15"/>
        <v>8.7552241321199809</v>
      </c>
      <c r="B127" s="3">
        <f t="shared" si="16"/>
        <v>105.06268958543977</v>
      </c>
      <c r="C127" s="3">
        <f t="shared" si="17"/>
        <v>8.8963196026496991</v>
      </c>
      <c r="D127" s="3">
        <f t="shared" si="13"/>
        <v>270.59638791392837</v>
      </c>
      <c r="E127" s="3">
        <f t="shared" si="14"/>
        <v>97500.736334193149</v>
      </c>
    </row>
    <row r="128" spans="1:5" x14ac:dyDescent="0.45">
      <c r="A128" s="3">
        <f t="shared" si="15"/>
        <v>8.8385574654533148</v>
      </c>
      <c r="B128" s="3">
        <f t="shared" si="16"/>
        <v>106.06268958543978</v>
      </c>
      <c r="C128" s="3">
        <f t="shared" si="17"/>
        <v>8.8181134734519553</v>
      </c>
      <c r="D128" s="3">
        <f t="shared" si="13"/>
        <v>268.21761815083033</v>
      </c>
      <c r="E128" s="3">
        <f t="shared" si="14"/>
        <v>97768.953952343974</v>
      </c>
    </row>
    <row r="129" spans="1:5" x14ac:dyDescent="0.45">
      <c r="A129" s="3">
        <f t="shared" si="15"/>
        <v>8.9218907987866487</v>
      </c>
      <c r="B129" s="3">
        <f t="shared" si="16"/>
        <v>107.06268958543978</v>
      </c>
      <c r="C129" s="3">
        <f t="shared" si="17"/>
        <v>8.7413191220031141</v>
      </c>
      <c r="D129" s="3">
        <f t="shared" si="13"/>
        <v>265.88178996092807</v>
      </c>
      <c r="E129" s="3">
        <f t="shared" si="14"/>
        <v>98034.835742304902</v>
      </c>
    </row>
    <row r="130" spans="1:5" x14ac:dyDescent="0.45">
      <c r="A130" s="3">
        <f t="shared" si="15"/>
        <v>9.0052241321199826</v>
      </c>
      <c r="B130" s="3">
        <f t="shared" si="16"/>
        <v>108.06268958543978</v>
      </c>
      <c r="C130" s="3">
        <f t="shared" si="17"/>
        <v>8.665898230215042</v>
      </c>
      <c r="D130" s="3">
        <f t="shared" si="13"/>
        <v>263.58773783570751</v>
      </c>
      <c r="E130" s="3">
        <f t="shared" si="14"/>
        <v>98298.423480140613</v>
      </c>
    </row>
    <row r="131" spans="1:5" x14ac:dyDescent="0.45">
      <c r="A131" s="3">
        <f t="shared" si="15"/>
        <v>9.0885574654533166</v>
      </c>
      <c r="B131" s="3">
        <f t="shared" si="16"/>
        <v>109.0626895854398</v>
      </c>
      <c r="C131" s="3">
        <f t="shared" si="17"/>
        <v>8.5918138619305733</v>
      </c>
      <c r="D131" s="3">
        <f t="shared" si="13"/>
        <v>261.33433830038825</v>
      </c>
      <c r="E131" s="3">
        <f t="shared" si="14"/>
        <v>98559.757818440994</v>
      </c>
    </row>
    <row r="132" spans="1:5" x14ac:dyDescent="0.45">
      <c r="A132" s="3">
        <f t="shared" si="15"/>
        <v>9.1718907987866505</v>
      </c>
      <c r="B132" s="3">
        <f t="shared" si="16"/>
        <v>110.06268958543981</v>
      </c>
      <c r="C132" s="3">
        <f t="shared" si="17"/>
        <v>8.5190304009777069</v>
      </c>
      <c r="D132" s="3">
        <f t="shared" si="13"/>
        <v>259.12050802973857</v>
      </c>
      <c r="E132" s="3">
        <f t="shared" si="14"/>
        <v>98818.878326470731</v>
      </c>
    </row>
    <row r="133" spans="1:5" x14ac:dyDescent="0.45">
      <c r="A133" s="3">
        <f t="shared" si="15"/>
        <v>9.2552241321199844</v>
      </c>
      <c r="B133" s="3">
        <f t="shared" si="16"/>
        <v>111.06268958543981</v>
      </c>
      <c r="C133" s="3">
        <f t="shared" si="17"/>
        <v>8.4475134925335755</v>
      </c>
      <c r="D133" s="3">
        <f t="shared" si="13"/>
        <v>256.94520206456292</v>
      </c>
      <c r="E133" s="3">
        <f t="shared" si="14"/>
        <v>99075.8235285353</v>
      </c>
    </row>
    <row r="134" spans="1:5" x14ac:dyDescent="0.45">
      <c r="A134" s="3">
        <f t="shared" si="15"/>
        <v>9.3385574654533183</v>
      </c>
      <c r="B134" s="3">
        <f t="shared" si="16"/>
        <v>112.06268958543981</v>
      </c>
      <c r="C134" s="3">
        <f t="shared" si="17"/>
        <v>8.3772299875931573</v>
      </c>
      <c r="D134" s="3">
        <f t="shared" si="13"/>
        <v>254.80741212262521</v>
      </c>
      <c r="E134" s="3">
        <f t="shared" si="14"/>
        <v>99330.630940657924</v>
      </c>
    </row>
    <row r="135" spans="1:5" x14ac:dyDescent="0.45">
      <c r="A135" s="3">
        <f t="shared" si="15"/>
        <v>9.4218907987866523</v>
      </c>
      <c r="B135" s="3">
        <f t="shared" si="16"/>
        <v>113.06268958543983</v>
      </c>
      <c r="C135" s="3">
        <f t="shared" si="17"/>
        <v>8.3081478903525152</v>
      </c>
      <c r="D135" s="3">
        <f t="shared" si="13"/>
        <v>252.70616499822233</v>
      </c>
      <c r="E135" s="3">
        <f t="shared" si="14"/>
        <v>99583.337105656145</v>
      </c>
    </row>
    <row r="136" spans="1:5" x14ac:dyDescent="0.45">
      <c r="A136" s="3">
        <f t="shared" si="15"/>
        <v>9.5052241321199862</v>
      </c>
      <c r="B136" s="3">
        <f t="shared" si="16"/>
        <v>114.06268958543984</v>
      </c>
      <c r="C136" s="3">
        <f t="shared" si="17"/>
        <v>8.2402363083293348</v>
      </c>
      <c r="D136" s="3">
        <f t="shared" si="13"/>
        <v>250.64052104501727</v>
      </c>
      <c r="E136" s="3">
        <f t="shared" si="14"/>
        <v>99833.977626701162</v>
      </c>
    </row>
    <row r="137" spans="1:5" x14ac:dyDescent="0.45">
      <c r="A137" s="3">
        <f t="shared" si="15"/>
        <v>9.5885574654533201</v>
      </c>
      <c r="B137" s="3">
        <f t="shared" si="16"/>
        <v>115.06268958543984</v>
      </c>
      <c r="C137" s="3">
        <f t="shared" si="17"/>
        <v>8.1734654050556976</v>
      </c>
      <c r="D137" s="3">
        <f t="shared" si="13"/>
        <v>248.60957273711082</v>
      </c>
      <c r="E137" s="3">
        <f t="shared" si="14"/>
        <v>100082.58719943828</v>
      </c>
    </row>
    <row r="138" spans="1:5" x14ac:dyDescent="0.45">
      <c r="A138" s="3">
        <f t="shared" si="15"/>
        <v>9.671890798786654</v>
      </c>
      <c r="B138" s="3">
        <f t="shared" si="16"/>
        <v>116.06268958543984</v>
      </c>
      <c r="C138" s="3">
        <f t="shared" si="17"/>
        <v>8.1078063551895418</v>
      </c>
      <c r="D138" s="3">
        <f t="shared" si="13"/>
        <v>246.61244330368191</v>
      </c>
      <c r="E138" s="3">
        <f t="shared" si="14"/>
        <v>100329.19964274195</v>
      </c>
    </row>
    <row r="139" spans="1:5" x14ac:dyDescent="0.45">
      <c r="A139" s="3">
        <f t="shared" si="15"/>
        <v>9.755224132119988</v>
      </c>
      <c r="B139" s="3">
        <f t="shared" si="16"/>
        <v>117.06268958543986</v>
      </c>
      <c r="C139" s="3">
        <f t="shared" si="17"/>
        <v>8.0432313019014909</v>
      </c>
      <c r="D139" s="3">
        <f t="shared" si="13"/>
        <v>244.64828543283701</v>
      </c>
      <c r="E139" s="3">
        <f t="shared" si="14"/>
        <v>100573.84792817479</v>
      </c>
    </row>
    <row r="140" spans="1:5" x14ac:dyDescent="0.45">
      <c r="A140" s="3">
        <f t="shared" si="15"/>
        <v>9.8385574654533219</v>
      </c>
      <c r="B140" s="3">
        <f t="shared" si="16"/>
        <v>118.06268958543987</v>
      </c>
      <c r="C140" s="3">
        <f t="shared" si="17"/>
        <v>7.9797133164033838</v>
      </c>
      <c r="D140" s="3">
        <f t="shared" si="13"/>
        <v>242.71628004060292</v>
      </c>
      <c r="E140" s="3">
        <f t="shared" si="14"/>
        <v>100816.56420821539</v>
      </c>
    </row>
    <row r="141" spans="1:5" x14ac:dyDescent="0.45">
      <c r="A141" s="3">
        <f t="shared" si="15"/>
        <v>9.9218907987866558</v>
      </c>
      <c r="B141" s="3">
        <f t="shared" si="16"/>
        <v>119.06268958543987</v>
      </c>
      <c r="C141" s="3">
        <f t="shared" si="17"/>
        <v>7.9172263594938022</v>
      </c>
      <c r="D141" s="3">
        <f t="shared" si="13"/>
        <v>240.81563510126983</v>
      </c>
      <c r="E141" s="3">
        <f t="shared" si="14"/>
        <v>101057.37984331667</v>
      </c>
    </row>
    <row r="142" spans="1:5" ht="16.3" thickBot="1" x14ac:dyDescent="0.5">
      <c r="A142" s="3">
        <f t="shared" si="15"/>
        <v>10.00522413211999</v>
      </c>
      <c r="B142" s="3">
        <f t="shared" si="16"/>
        <v>120.06268958543987</v>
      </c>
      <c r="C142" s="4">
        <f t="shared" si="17"/>
        <v>7.8557452450041731</v>
      </c>
      <c r="D142" s="4">
        <f t="shared" si="13"/>
        <v>238.94558453554362</v>
      </c>
      <c r="E142" s="4">
        <f t="shared" si="14"/>
        <v>101296.32542785221</v>
      </c>
    </row>
    <row r="143" spans="1:5" x14ac:dyDescent="0.45">
      <c r="A143" s="3">
        <f t="shared" si="15"/>
        <v>10.088557465453324</v>
      </c>
      <c r="B143" s="3">
        <f t="shared" si="16"/>
        <v>121.06268958543988</v>
      </c>
      <c r="C143" s="3">
        <f t="shared" si="17"/>
        <v>7.7952456050364054</v>
      </c>
      <c r="D143" s="3">
        <f t="shared" si="13"/>
        <v>237.10538715319066</v>
      </c>
      <c r="E143" s="3">
        <f t="shared" si="14"/>
        <v>101533.4308150054</v>
      </c>
    </row>
    <row r="144" spans="1:5" x14ac:dyDescent="0.45">
      <c r="A144" s="3">
        <f t="shared" si="15"/>
        <v>10.171890798786658</v>
      </c>
      <c r="B144" s="3">
        <f t="shared" si="16"/>
        <v>122.0626895854399</v>
      </c>
      <c r="C144" s="3">
        <f t="shared" si="17"/>
        <v>7.7357038568905256</v>
      </c>
      <c r="D144" s="3">
        <f t="shared" si="13"/>
        <v>235.29432564708682</v>
      </c>
      <c r="E144" s="3">
        <f t="shared" si="14"/>
        <v>101768.72514065249</v>
      </c>
    </row>
    <row r="145" spans="1:5" x14ac:dyDescent="0.45">
      <c r="A145" s="3">
        <f t="shared" si="15"/>
        <v>10.255224132119992</v>
      </c>
      <c r="B145" s="3">
        <f t="shared" si="16"/>
        <v>123.0626895854399</v>
      </c>
      <c r="C145" s="3">
        <f t="shared" si="17"/>
        <v>7.6770971715868761</v>
      </c>
      <c r="D145" s="3">
        <f t="shared" si="13"/>
        <v>233.5117056357675</v>
      </c>
      <c r="E145" s="3">
        <f t="shared" si="14"/>
        <v>102002.23684628826</v>
      </c>
    </row>
    <row r="146" spans="1:5" x14ac:dyDescent="0.45">
      <c r="A146" s="3">
        <f t="shared" si="15"/>
        <v>10.338557465453325</v>
      </c>
      <c r="B146" s="3">
        <f t="shared" si="16"/>
        <v>124.0626895854399</v>
      </c>
      <c r="C146" s="3">
        <f t="shared" si="17"/>
        <v>7.6194034438939058</v>
      </c>
      <c r="D146" s="3">
        <f t="shared" ref="D146:D209" si="18">C146*(365/12)</f>
        <v>231.75685475177298</v>
      </c>
      <c r="E146" s="3">
        <f t="shared" si="14"/>
        <v>102233.99370104003</v>
      </c>
    </row>
    <row r="147" spans="1:5" x14ac:dyDescent="0.45">
      <c r="A147" s="3">
        <f t="shared" si="15"/>
        <v>10.421890798786659</v>
      </c>
      <c r="B147" s="3">
        <f t="shared" si="16"/>
        <v>125.06268958543991</v>
      </c>
      <c r="C147" s="3">
        <f t="shared" si="17"/>
        <v>7.5626012637779692</v>
      </c>
      <c r="D147" s="3">
        <f t="shared" si="18"/>
        <v>230.02912177324657</v>
      </c>
      <c r="E147" s="3">
        <f t="shared" ref="E147:E210" si="19">E146+D147</f>
        <v>102464.02282281328</v>
      </c>
    </row>
    <row r="148" spans="1:5" x14ac:dyDescent="0.45">
      <c r="A148" s="3">
        <f t="shared" si="15"/>
        <v>10.505224132119993</v>
      </c>
      <c r="B148" s="3">
        <f t="shared" si="16"/>
        <v>126.06268958543993</v>
      </c>
      <c r="C148" s="3">
        <f t="shared" si="17"/>
        <v>7.5066698891970427</v>
      </c>
      <c r="D148" s="3">
        <f t="shared" si="18"/>
        <v>228.32787579641007</v>
      </c>
      <c r="E148" s="3">
        <f t="shared" si="19"/>
        <v>102692.35069860969</v>
      </c>
    </row>
    <row r="149" spans="1:5" x14ac:dyDescent="0.45">
      <c r="A149" s="3">
        <f t="shared" si="15"/>
        <v>10.588557465453327</v>
      </c>
      <c r="B149" s="3">
        <f t="shared" si="16"/>
        <v>127.06268958543993</v>
      </c>
      <c r="C149" s="3">
        <f t="shared" si="17"/>
        <v>7.4515892201648501</v>
      </c>
      <c r="D149" s="3">
        <f t="shared" si="18"/>
        <v>226.65250544668086</v>
      </c>
      <c r="E149" s="3">
        <f t="shared" si="19"/>
        <v>102919.00320405637</v>
      </c>
    </row>
    <row r="150" spans="1:5" x14ac:dyDescent="0.45">
      <c r="A150" s="3">
        <f t="shared" si="15"/>
        <v>10.671890798786661</v>
      </c>
      <c r="B150" s="3">
        <f t="shared" si="16"/>
        <v>128.06268958543993</v>
      </c>
      <c r="C150" s="3">
        <f t="shared" si="17"/>
        <v>7.3973397740167597</v>
      </c>
      <c r="D150" s="3">
        <f t="shared" si="18"/>
        <v>225.00241812634312</v>
      </c>
      <c r="E150" s="3">
        <f t="shared" si="19"/>
        <v>103144.00562218271</v>
      </c>
    </row>
    <row r="151" spans="1:5" x14ac:dyDescent="0.45">
      <c r="A151" s="3">
        <f t="shared" si="15"/>
        <v>10.755224132119995</v>
      </c>
      <c r="B151" s="3">
        <f t="shared" si="16"/>
        <v>129.06268958543995</v>
      </c>
      <c r="C151" s="3">
        <f t="shared" si="17"/>
        <v>7.3439026618128231</v>
      </c>
      <c r="D151" s="3">
        <f t="shared" si="18"/>
        <v>223.37703929680671</v>
      </c>
      <c r="E151" s="3">
        <f t="shared" si="19"/>
        <v>103367.38266147951</v>
      </c>
    </row>
    <row r="152" spans="1:5" x14ac:dyDescent="0.45">
      <c r="A152" s="3">
        <f t="shared" si="15"/>
        <v>10.838557465453329</v>
      </c>
      <c r="B152" s="3">
        <f t="shared" si="16"/>
        <v>130.06268958543995</v>
      </c>
      <c r="C152" s="3">
        <f t="shared" si="17"/>
        <v>7.2912595658173158</v>
      </c>
      <c r="D152" s="3">
        <f t="shared" si="18"/>
        <v>221.77581179361002</v>
      </c>
      <c r="E152" s="3">
        <f t="shared" si="19"/>
        <v>103589.15847327311</v>
      </c>
    </row>
    <row r="153" spans="1:5" x14ac:dyDescent="0.45">
      <c r="A153" s="3">
        <f t="shared" si="15"/>
        <v>10.921890798786663</v>
      </c>
      <c r="B153" s="3">
        <f t="shared" si="16"/>
        <v>131.06268958543995</v>
      </c>
      <c r="C153" s="3">
        <f t="shared" si="17"/>
        <v>7.2393927179979238</v>
      </c>
      <c r="D153" s="3">
        <f t="shared" si="18"/>
        <v>220.19819517243687</v>
      </c>
      <c r="E153" s="3">
        <f t="shared" si="19"/>
        <v>103809.35666844554</v>
      </c>
    </row>
    <row r="154" spans="1:5" x14ac:dyDescent="0.45">
      <c r="A154" s="3">
        <f t="shared" si="15"/>
        <v>11.005224132119997</v>
      </c>
      <c r="B154" s="3">
        <f t="shared" si="16"/>
        <v>132.06268958543995</v>
      </c>
      <c r="C154" s="3">
        <f t="shared" si="17"/>
        <v>7.1882848794908654</v>
      </c>
      <c r="D154" s="3">
        <f t="shared" si="18"/>
        <v>218.64366508451383</v>
      </c>
      <c r="E154" s="3">
        <f t="shared" si="19"/>
        <v>104028.00033353006</v>
      </c>
    </row>
    <row r="155" spans="1:5" x14ac:dyDescent="0.45">
      <c r="A155" s="3">
        <f t="shared" si="15"/>
        <v>11.088557465453331</v>
      </c>
      <c r="B155" s="3">
        <f t="shared" si="16"/>
        <v>133.06268958543995</v>
      </c>
      <c r="C155" s="3">
        <f t="shared" si="17"/>
        <v>7.1379193209817853</v>
      </c>
      <c r="D155" s="3">
        <f t="shared" si="18"/>
        <v>217.11171267986265</v>
      </c>
      <c r="E155" s="3">
        <f t="shared" si="19"/>
        <v>104245.11204620992</v>
      </c>
    </row>
    <row r="156" spans="1:5" x14ac:dyDescent="0.45">
      <c r="A156" s="3">
        <f t="shared" si="15"/>
        <v>11.171890798786665</v>
      </c>
      <c r="B156" s="3">
        <f t="shared" si="16"/>
        <v>134.06268958543998</v>
      </c>
      <c r="C156" s="3">
        <f t="shared" si="17"/>
        <v>7.0882798039549755</v>
      </c>
      <c r="D156" s="3">
        <f t="shared" si="18"/>
        <v>215.60184403696385</v>
      </c>
      <c r="E156" s="3">
        <f t="shared" si="19"/>
        <v>104460.71389024689</v>
      </c>
    </row>
    <row r="157" spans="1:5" x14ac:dyDescent="0.45">
      <c r="A157" s="3">
        <f t="shared" si="15"/>
        <v>11.255224132119999</v>
      </c>
      <c r="B157" s="3">
        <f t="shared" si="16"/>
        <v>135.06268958543998</v>
      </c>
      <c r="C157" s="3">
        <f t="shared" si="17"/>
        <v>7.0393505627663586</v>
      </c>
      <c r="D157" s="3">
        <f t="shared" si="18"/>
        <v>214.11357961747674</v>
      </c>
      <c r="E157" s="3">
        <f t="shared" si="19"/>
        <v>104674.82746986437</v>
      </c>
    </row>
    <row r="158" spans="1:5" x14ac:dyDescent="0.45">
      <c r="A158" s="3">
        <f t="shared" si="15"/>
        <v>11.338557465453333</v>
      </c>
      <c r="B158" s="3">
        <f t="shared" si="16"/>
        <v>136.06268958543998</v>
      </c>
      <c r="C158" s="3">
        <f t="shared" si="17"/>
        <v>6.9911162874982287</v>
      </c>
      <c r="D158" s="3">
        <f t="shared" si="18"/>
        <v>212.64645374473778</v>
      </c>
      <c r="E158" s="3">
        <f t="shared" si="19"/>
        <v>104887.4739236091</v>
      </c>
    </row>
    <row r="159" spans="1:5" x14ac:dyDescent="0.45">
      <c r="A159" s="3">
        <f t="shared" ref="A159:A222" si="20">A158+(1/12)</f>
        <v>11.421890798786666</v>
      </c>
      <c r="B159" s="3">
        <f t="shared" ref="B159:B222" si="21">A159*12</f>
        <v>137.06268958544001</v>
      </c>
      <c r="C159" s="3">
        <f t="shared" ref="C159:C222" si="22">$B$4*(B159^$B$5)</f>
        <v>6.9435621075562608</v>
      </c>
      <c r="D159" s="3">
        <f t="shared" si="18"/>
        <v>211.20001410483627</v>
      </c>
      <c r="E159" s="3">
        <f t="shared" si="19"/>
        <v>105098.67393771393</v>
      </c>
    </row>
    <row r="160" spans="1:5" x14ac:dyDescent="0.45">
      <c r="A160" s="3">
        <f t="shared" si="20"/>
        <v>11.50522413212</v>
      </c>
      <c r="B160" s="3">
        <f t="shared" si="21"/>
        <v>138.06268958544001</v>
      </c>
      <c r="C160" s="3">
        <f t="shared" si="22"/>
        <v>6.8966735759714357</v>
      </c>
      <c r="D160" s="3">
        <f t="shared" si="18"/>
        <v>209.77382126913119</v>
      </c>
      <c r="E160" s="3">
        <f t="shared" si="19"/>
        <v>105308.44775898306</v>
      </c>
    </row>
    <row r="161" spans="1:5" x14ac:dyDescent="0.45">
      <c r="A161" s="3">
        <f t="shared" si="20"/>
        <v>11.588557465453334</v>
      </c>
      <c r="B161" s="3">
        <f t="shared" si="21"/>
        <v>139.06268958544001</v>
      </c>
      <c r="C161" s="3">
        <f t="shared" si="22"/>
        <v>6.8504366543718378</v>
      </c>
      <c r="D161" s="3">
        <f t="shared" si="18"/>
        <v>208.36744823714341</v>
      </c>
      <c r="E161" s="3">
        <f t="shared" si="19"/>
        <v>105516.81520722021</v>
      </c>
    </row>
    <row r="162" spans="1:5" x14ac:dyDescent="0.45">
      <c r="A162" s="3">
        <f t="shared" si="20"/>
        <v>11.671890798786668</v>
      </c>
      <c r="B162" s="3">
        <f t="shared" si="21"/>
        <v>140.06268958544001</v>
      </c>
      <c r="C162" s="3">
        <f t="shared" si="22"/>
        <v>6.8048376985909904</v>
      </c>
      <c r="D162" s="3">
        <f t="shared" si="18"/>
        <v>206.9804799988093</v>
      </c>
      <c r="E162" s="3">
        <f t="shared" si="19"/>
        <v>105723.79568721901</v>
      </c>
    </row>
    <row r="163" spans="1:5" x14ac:dyDescent="0.45">
      <c r="A163" s="3">
        <f t="shared" si="20"/>
        <v>11.755224132120002</v>
      </c>
      <c r="B163" s="3">
        <f t="shared" si="21"/>
        <v>141.06268958544001</v>
      </c>
      <c r="C163" s="3">
        <f t="shared" si="22"/>
        <v>6.7598634448816757</v>
      </c>
      <c r="D163" s="3">
        <f t="shared" si="18"/>
        <v>205.61251311515099</v>
      </c>
      <c r="E163" s="3">
        <f t="shared" si="19"/>
        <v>105929.40820033416</v>
      </c>
    </row>
    <row r="164" spans="1:5" x14ac:dyDescent="0.45">
      <c r="A164" s="3">
        <f t="shared" si="20"/>
        <v>11.838557465453336</v>
      </c>
      <c r="B164" s="3">
        <f t="shared" si="21"/>
        <v>142.06268958544004</v>
      </c>
      <c r="C164" s="3">
        <f t="shared" si="22"/>
        <v>6.7155009967054475</v>
      </c>
      <c r="D164" s="3">
        <f t="shared" si="18"/>
        <v>204.26315531645736</v>
      </c>
      <c r="E164" s="3">
        <f t="shared" si="19"/>
        <v>106133.67135565061</v>
      </c>
    </row>
    <row r="165" spans="1:5" x14ac:dyDescent="0.45">
      <c r="A165" s="3">
        <f t="shared" si="20"/>
        <v>11.92189079878667</v>
      </c>
      <c r="B165" s="3">
        <f t="shared" si="21"/>
        <v>143.06268958544004</v>
      </c>
      <c r="C165" s="3">
        <f t="shared" si="22"/>
        <v>6.6717378120701438</v>
      </c>
      <c r="D165" s="3">
        <f t="shared" si="18"/>
        <v>202.93202511713355</v>
      </c>
      <c r="E165" s="3">
        <f t="shared" si="19"/>
        <v>106336.60338076774</v>
      </c>
    </row>
    <row r="166" spans="1:5" x14ac:dyDescent="0.45">
      <c r="A166" s="3">
        <f t="shared" si="20"/>
        <v>12.005224132120004</v>
      </c>
      <c r="B166" s="3">
        <f t="shared" si="21"/>
        <v>144.06268958544004</v>
      </c>
      <c r="C166" s="3">
        <f t="shared" si="22"/>
        <v>6.6285616913888292</v>
      </c>
      <c r="D166" s="3">
        <f t="shared" si="18"/>
        <v>201.61875144641024</v>
      </c>
      <c r="E166" s="3">
        <f t="shared" si="19"/>
        <v>106538.22213221416</v>
      </c>
    </row>
    <row r="167" spans="1:5" x14ac:dyDescent="0.45">
      <c r="A167" s="3">
        <f t="shared" si="20"/>
        <v>12.088557465453338</v>
      </c>
      <c r="B167" s="3">
        <f t="shared" si="21"/>
        <v>145.06268958544007</v>
      </c>
      <c r="C167" s="3">
        <f t="shared" si="22"/>
        <v>6.5859607658354369</v>
      </c>
      <c r="D167" s="3">
        <f t="shared" si="18"/>
        <v>200.32297329416122</v>
      </c>
      <c r="E167" s="3">
        <f t="shared" si="19"/>
        <v>106738.54510550831</v>
      </c>
    </row>
    <row r="168" spans="1:5" x14ac:dyDescent="0.45">
      <c r="A168" s="3">
        <f t="shared" si="20"/>
        <v>12.171890798786672</v>
      </c>
      <c r="B168" s="3">
        <f t="shared" si="21"/>
        <v>146.06268958544007</v>
      </c>
      <c r="C168" s="3">
        <f t="shared" si="22"/>
        <v>6.5439234861733562</v>
      </c>
      <c r="D168" s="3">
        <f t="shared" si="18"/>
        <v>199.04433937110625</v>
      </c>
      <c r="E168" s="3">
        <f t="shared" si="19"/>
        <v>106937.58944487941</v>
      </c>
    </row>
    <row r="169" spans="1:5" x14ac:dyDescent="0.45">
      <c r="A169" s="3">
        <f t="shared" si="20"/>
        <v>12.255224132120006</v>
      </c>
      <c r="B169" s="3">
        <f t="shared" si="21"/>
        <v>147.06268958544007</v>
      </c>
      <c r="C169" s="3">
        <f t="shared" si="22"/>
        <v>6.5024386120348048</v>
      </c>
      <c r="D169" s="3">
        <f t="shared" si="18"/>
        <v>197.78250778272533</v>
      </c>
      <c r="E169" s="3">
        <f t="shared" si="19"/>
        <v>107135.37195266214</v>
      </c>
    </row>
    <row r="170" spans="1:5" x14ac:dyDescent="0.45">
      <c r="A170" s="3">
        <f t="shared" si="20"/>
        <v>12.33855746545334</v>
      </c>
      <c r="B170" s="3">
        <f t="shared" si="21"/>
        <v>148.06268958544007</v>
      </c>
      <c r="C170" s="3">
        <f t="shared" si="22"/>
        <v>6.4614952016297913</v>
      </c>
      <c r="D170" s="3">
        <f t="shared" si="18"/>
        <v>196.53714571623948</v>
      </c>
      <c r="E170" s="3">
        <f t="shared" si="19"/>
        <v>107331.90909837838</v>
      </c>
    </row>
    <row r="171" spans="1:5" x14ac:dyDescent="0.45">
      <c r="A171" s="3">
        <f t="shared" si="20"/>
        <v>12.421890798786674</v>
      </c>
      <c r="B171" s="3">
        <f t="shared" si="21"/>
        <v>149.06268958544007</v>
      </c>
      <c r="C171" s="3">
        <f t="shared" si="22"/>
        <v>6.4210826018647218</v>
      </c>
      <c r="D171" s="3">
        <f t="shared" si="18"/>
        <v>195.30792914005195</v>
      </c>
      <c r="E171" s="3">
        <f t="shared" si="19"/>
        <v>107527.21702751843</v>
      </c>
    </row>
    <row r="172" spans="1:5" x14ac:dyDescent="0.45">
      <c r="A172" s="3">
        <f t="shared" si="20"/>
        <v>12.505224132120007</v>
      </c>
      <c r="B172" s="3">
        <f t="shared" si="21"/>
        <v>150.0626895854401</v>
      </c>
      <c r="C172" s="3">
        <f t="shared" si="22"/>
        <v>6.3811904388517071</v>
      </c>
      <c r="D172" s="3">
        <f t="shared" si="18"/>
        <v>194.09454251507276</v>
      </c>
      <c r="E172" s="3">
        <f t="shared" si="19"/>
        <v>107721.3115700335</v>
      </c>
    </row>
    <row r="173" spans="1:5" x14ac:dyDescent="0.45">
      <c r="A173" s="3">
        <f t="shared" si="20"/>
        <v>12.588557465453341</v>
      </c>
      <c r="B173" s="3">
        <f t="shared" si="21"/>
        <v>151.0626895854401</v>
      </c>
      <c r="C173" s="3">
        <f t="shared" si="22"/>
        <v>6.3418086087906271</v>
      </c>
      <c r="D173" s="3">
        <f t="shared" si="18"/>
        <v>192.89667851738159</v>
      </c>
      <c r="E173" s="3">
        <f t="shared" si="19"/>
        <v>107914.20824855089</v>
      </c>
    </row>
    <row r="174" spans="1:5" x14ac:dyDescent="0.45">
      <c r="A174" s="3">
        <f t="shared" si="20"/>
        <v>12.671890798786675</v>
      </c>
      <c r="B174" s="3">
        <f t="shared" si="21"/>
        <v>152.0626895854401</v>
      </c>
      <c r="C174" s="3">
        <f t="shared" si="22"/>
        <v>6.3029272692070331</v>
      </c>
      <c r="D174" s="3">
        <f t="shared" si="18"/>
        <v>191.71403777171392</v>
      </c>
      <c r="E174" s="3">
        <f t="shared" si="19"/>
        <v>108105.9222863226</v>
      </c>
    </row>
    <row r="175" spans="1:5" x14ac:dyDescent="0.45">
      <c r="A175" s="3">
        <f t="shared" si="20"/>
        <v>12.755224132120009</v>
      </c>
      <c r="B175" s="3">
        <f t="shared" si="21"/>
        <v>153.06268958544013</v>
      </c>
      <c r="C175" s="3">
        <f t="shared" si="22"/>
        <v>6.2645368305296456</v>
      </c>
      <c r="D175" s="3">
        <f t="shared" si="18"/>
        <v>190.54632859527672</v>
      </c>
      <c r="E175" s="3">
        <f t="shared" si="19"/>
        <v>108296.46861491787</v>
      </c>
    </row>
    <row r="176" spans="1:5" x14ac:dyDescent="0.45">
      <c r="A176" s="3">
        <f t="shared" si="20"/>
        <v>12.838557465453343</v>
      </c>
      <c r="B176" s="3">
        <f t="shared" si="21"/>
        <v>154.06268958544013</v>
      </c>
      <c r="C176" s="3">
        <f t="shared" si="22"/>
        <v>6.2266279479922417</v>
      </c>
      <c r="D176" s="3">
        <f t="shared" si="18"/>
        <v>189.3932667514307</v>
      </c>
      <c r="E176" s="3">
        <f t="shared" si="19"/>
        <v>108485.86188166931</v>
      </c>
    </row>
    <row r="177" spans="1:5" x14ac:dyDescent="0.45">
      <c r="A177" s="3">
        <f t="shared" si="20"/>
        <v>12.921890798786677</v>
      </c>
      <c r="B177" s="3">
        <f t="shared" si="21"/>
        <v>155.06268958544013</v>
      </c>
      <c r="C177" s="3">
        <f t="shared" si="22"/>
        <v>6.1891915138454578</v>
      </c>
      <c r="D177" s="3">
        <f t="shared" si="18"/>
        <v>188.25457521279935</v>
      </c>
      <c r="E177" s="3">
        <f t="shared" si="19"/>
        <v>108674.11645688211</v>
      </c>
    </row>
    <row r="178" spans="1:5" x14ac:dyDescent="0.45">
      <c r="A178" s="3">
        <f t="shared" si="20"/>
        <v>13.005224132120011</v>
      </c>
      <c r="B178" s="3">
        <f t="shared" si="21"/>
        <v>156.06268958544013</v>
      </c>
      <c r="C178" s="3">
        <f t="shared" si="22"/>
        <v>6.1522186498646008</v>
      </c>
      <c r="D178" s="3">
        <f t="shared" si="18"/>
        <v>187.12998393338162</v>
      </c>
      <c r="E178" s="3">
        <f t="shared" si="19"/>
        <v>108861.24644081549</v>
      </c>
    </row>
    <row r="179" spans="1:5" x14ac:dyDescent="0.45">
      <c r="A179" s="3">
        <f t="shared" si="20"/>
        <v>13.088557465453345</v>
      </c>
      <c r="B179" s="3">
        <f t="shared" si="21"/>
        <v>157.06268958544013</v>
      </c>
      <c r="C179" s="3">
        <f t="shared" si="22"/>
        <v>6.1157007001406072</v>
      </c>
      <c r="D179" s="3">
        <f t="shared" si="18"/>
        <v>186.01922962927682</v>
      </c>
      <c r="E179" s="3">
        <f t="shared" si="19"/>
        <v>109047.26567044477</v>
      </c>
    </row>
    <row r="180" spans="1:5" x14ac:dyDescent="0.45">
      <c r="A180" s="3">
        <f t="shared" si="20"/>
        <v>13.171890798786679</v>
      </c>
      <c r="B180" s="3">
        <f t="shared" si="21"/>
        <v>158.06268958544015</v>
      </c>
      <c r="C180" s="3">
        <f t="shared" si="22"/>
        <v>6.0796292241415051</v>
      </c>
      <c r="D180" s="3">
        <f t="shared" si="18"/>
        <v>184.92205556763744</v>
      </c>
      <c r="E180" s="3">
        <f t="shared" si="19"/>
        <v>109232.18772601242</v>
      </c>
    </row>
    <row r="181" spans="1:5" x14ac:dyDescent="0.45">
      <c r="A181" s="3">
        <f t="shared" si="20"/>
        <v>13.255224132120013</v>
      </c>
      <c r="B181" s="3">
        <f t="shared" si="21"/>
        <v>159.06268958544015</v>
      </c>
      <c r="C181" s="3">
        <f t="shared" si="22"/>
        <v>6.0439959900327933</v>
      </c>
      <c r="D181" s="3">
        <f t="shared" si="18"/>
        <v>183.83821136349746</v>
      </c>
      <c r="E181" s="3">
        <f t="shared" si="19"/>
        <v>109416.02593737592</v>
      </c>
    </row>
    <row r="182" spans="1:5" x14ac:dyDescent="0.45">
      <c r="A182" s="3">
        <f t="shared" si="20"/>
        <v>13.338557465453347</v>
      </c>
      <c r="B182" s="3">
        <f t="shared" si="21"/>
        <v>160.06268958544015</v>
      </c>
      <c r="C182" s="3">
        <f t="shared" si="22"/>
        <v>6.0087929682453582</v>
      </c>
      <c r="D182" s="3">
        <f t="shared" si="18"/>
        <v>182.76745278412966</v>
      </c>
      <c r="E182" s="3">
        <f t="shared" si="19"/>
        <v>109598.79339016005</v>
      </c>
    </row>
    <row r="183" spans="1:5" x14ac:dyDescent="0.45">
      <c r="A183" s="3">
        <f t="shared" si="20"/>
        <v>13.421890798786681</v>
      </c>
      <c r="B183" s="3">
        <f t="shared" si="21"/>
        <v>161.06268958544018</v>
      </c>
      <c r="C183" s="3">
        <f t="shared" si="22"/>
        <v>5.9740123252803574</v>
      </c>
      <c r="D183" s="3">
        <f t="shared" si="18"/>
        <v>181.70954156061089</v>
      </c>
      <c r="E183" s="3">
        <f t="shared" si="19"/>
        <v>109780.50293172066</v>
      </c>
    </row>
    <row r="184" spans="1:5" x14ac:dyDescent="0.45">
      <c r="A184" s="3">
        <f t="shared" si="20"/>
        <v>13.505224132120015</v>
      </c>
      <c r="B184" s="3">
        <f t="shared" si="21"/>
        <v>162.06268958544018</v>
      </c>
      <c r="C184" s="3">
        <f t="shared" si="22"/>
        <v>5.9396464177409607</v>
      </c>
      <c r="D184" s="3">
        <f t="shared" si="18"/>
        <v>180.66424520628757</v>
      </c>
      <c r="E184" s="3">
        <f t="shared" si="19"/>
        <v>109961.16717692695</v>
      </c>
    </row>
    <row r="185" spans="1:5" x14ac:dyDescent="0.45">
      <c r="A185" s="3">
        <f t="shared" si="20"/>
        <v>13.588557465453349</v>
      </c>
      <c r="B185" s="3">
        <f t="shared" si="21"/>
        <v>163.06268958544018</v>
      </c>
      <c r="C185" s="3">
        <f t="shared" si="22"/>
        <v>5.905687786581165</v>
      </c>
      <c r="D185" s="3">
        <f t="shared" si="18"/>
        <v>179.63133684184376</v>
      </c>
      <c r="E185" s="3">
        <f t="shared" si="19"/>
        <v>110140.79851376879</v>
      </c>
    </row>
    <row r="186" spans="1:5" x14ac:dyDescent="0.45">
      <c r="A186" s="3">
        <f t="shared" si="20"/>
        <v>13.671890798786682</v>
      </c>
      <c r="B186" s="3">
        <f t="shared" si="21"/>
        <v>164.06268958544018</v>
      </c>
      <c r="C186" s="3">
        <f t="shared" si="22"/>
        <v>5.8721291515626906</v>
      </c>
      <c r="D186" s="3">
        <f t="shared" si="18"/>
        <v>178.61059502669852</v>
      </c>
      <c r="E186" s="3">
        <f t="shared" si="19"/>
        <v>110319.40910879549</v>
      </c>
    </row>
    <row r="187" spans="1:5" x14ac:dyDescent="0.45">
      <c r="A187" s="3">
        <f t="shared" si="20"/>
        <v>13.755224132120016</v>
      </c>
      <c r="B187" s="3">
        <f t="shared" si="21"/>
        <v>165.06268958544018</v>
      </c>
      <c r="C187" s="3">
        <f t="shared" si="22"/>
        <v>5.8389634059110893</v>
      </c>
      <c r="D187" s="3">
        <f t="shared" si="18"/>
        <v>177.6018035964623</v>
      </c>
      <c r="E187" s="3">
        <f t="shared" si="19"/>
        <v>110497.01091239195</v>
      </c>
    </row>
    <row r="188" spans="1:5" x14ac:dyDescent="0.45">
      <c r="A188" s="3">
        <f t="shared" si="20"/>
        <v>13.83855746545335</v>
      </c>
      <c r="B188" s="3">
        <f t="shared" si="21"/>
        <v>166.06268958544021</v>
      </c>
      <c r="C188" s="3">
        <f t="shared" si="22"/>
        <v>5.8061836111627709</v>
      </c>
      <c r="D188" s="3">
        <f t="shared" si="18"/>
        <v>176.60475150620096</v>
      </c>
      <c r="E188" s="3">
        <f t="shared" si="19"/>
        <v>110673.61566389815</v>
      </c>
    </row>
    <row r="189" spans="1:5" x14ac:dyDescent="0.45">
      <c r="A189" s="3">
        <f t="shared" si="20"/>
        <v>13.921890798786684</v>
      </c>
      <c r="B189" s="3">
        <f t="shared" si="21"/>
        <v>167.06268958544021</v>
      </c>
      <c r="C189" s="3">
        <f t="shared" si="22"/>
        <v>5.7737829921950734</v>
      </c>
      <c r="D189" s="3">
        <f t="shared" si="18"/>
        <v>175.61923267926682</v>
      </c>
      <c r="E189" s="3">
        <f t="shared" si="19"/>
        <v>110849.23489657741</v>
      </c>
    </row>
    <row r="190" spans="1:5" x14ac:dyDescent="0.45">
      <c r="A190" s="3">
        <f t="shared" si="20"/>
        <v>14.005224132120018</v>
      </c>
      <c r="B190" s="3">
        <f t="shared" si="21"/>
        <v>168.06268958544021</v>
      </c>
      <c r="C190" s="3">
        <f t="shared" si="22"/>
        <v>5.7417549324317809</v>
      </c>
      <c r="D190" s="3">
        <f t="shared" si="18"/>
        <v>174.64504586146668</v>
      </c>
      <c r="E190" s="3">
        <f t="shared" si="19"/>
        <v>111023.87994243889</v>
      </c>
    </row>
    <row r="191" spans="1:5" x14ac:dyDescent="0.45">
      <c r="A191" s="3">
        <f t="shared" si="20"/>
        <v>14.088557465453352</v>
      </c>
      <c r="B191" s="3">
        <f t="shared" si="21"/>
        <v>169.06268958544024</v>
      </c>
      <c r="C191" s="3">
        <f t="shared" si="22"/>
        <v>5.710092969216868</v>
      </c>
      <c r="D191" s="3">
        <f t="shared" si="18"/>
        <v>173.68199448034642</v>
      </c>
      <c r="E191" s="3">
        <f t="shared" si="19"/>
        <v>111197.56193691923</v>
      </c>
    </row>
    <row r="192" spans="1:5" x14ac:dyDescent="0.45">
      <c r="A192" s="3">
        <f t="shared" si="20"/>
        <v>14.171890798786686</v>
      </c>
      <c r="B192" s="3">
        <f t="shared" si="21"/>
        <v>170.06268958544024</v>
      </c>
      <c r="C192" s="3">
        <f t="shared" si="22"/>
        <v>5.6787907893497112</v>
      </c>
      <c r="D192" s="3">
        <f t="shared" si="18"/>
        <v>172.72988650938706</v>
      </c>
      <c r="E192" s="3">
        <f t="shared" si="19"/>
        <v>111370.29182342862</v>
      </c>
    </row>
    <row r="193" spans="1:5" x14ac:dyDescent="0.45">
      <c r="A193" s="3">
        <f t="shared" si="20"/>
        <v>14.25522413212002</v>
      </c>
      <c r="B193" s="3">
        <f t="shared" si="21"/>
        <v>171.06268958544024</v>
      </c>
      <c r="C193" s="3">
        <f t="shared" si="22"/>
        <v>5.6478422247751228</v>
      </c>
      <c r="D193" s="3">
        <f t="shared" si="18"/>
        <v>171.78853433691</v>
      </c>
      <c r="E193" s="3">
        <f t="shared" si="19"/>
        <v>111542.08035776553</v>
      </c>
    </row>
    <row r="194" spans="1:5" x14ac:dyDescent="0.45">
      <c r="A194" s="3">
        <f t="shared" si="20"/>
        <v>14.338557465453354</v>
      </c>
      <c r="B194" s="3">
        <f t="shared" si="21"/>
        <v>172.06268958544024</v>
      </c>
      <c r="C194" s="3">
        <f t="shared" si="22"/>
        <v>5.6172412484219976</v>
      </c>
      <c r="D194" s="3">
        <f t="shared" si="18"/>
        <v>170.85775463950245</v>
      </c>
      <c r="E194" s="3">
        <f t="shared" si="19"/>
        <v>111712.93811240503</v>
      </c>
    </row>
    <row r="195" spans="1:5" x14ac:dyDescent="0.45">
      <c r="A195" s="3">
        <f t="shared" si="20"/>
        <v>14.421890798786688</v>
      </c>
      <c r="B195" s="3">
        <f t="shared" si="21"/>
        <v>173.06268958544024</v>
      </c>
      <c r="C195" s="3">
        <f t="shared" si="22"/>
        <v>5.5869819701846577</v>
      </c>
      <c r="D195" s="3">
        <f t="shared" si="18"/>
        <v>169.93736825978334</v>
      </c>
      <c r="E195" s="3">
        <f t="shared" si="19"/>
        <v>111882.87548066481</v>
      </c>
    </row>
    <row r="196" spans="1:5" x14ac:dyDescent="0.45">
      <c r="A196" s="3">
        <f t="shared" si="20"/>
        <v>14.505224132120022</v>
      </c>
      <c r="B196" s="3">
        <f t="shared" si="21"/>
        <v>174.06268958544027</v>
      </c>
      <c r="C196" s="3">
        <f t="shared" si="22"/>
        <v>5.5570586330411542</v>
      </c>
      <c r="D196" s="3">
        <f t="shared" si="18"/>
        <v>169.02720008833512</v>
      </c>
      <c r="E196" s="3">
        <f t="shared" si="19"/>
        <v>112051.90268075315</v>
      </c>
    </row>
    <row r="197" spans="1:5" x14ac:dyDescent="0.45">
      <c r="A197" s="3">
        <f t="shared" si="20"/>
        <v>14.588557465453356</v>
      </c>
      <c r="B197" s="3">
        <f t="shared" si="21"/>
        <v>175.06268958544027</v>
      </c>
      <c r="C197" s="3">
        <f t="shared" si="22"/>
        <v>5.5274656093031451</v>
      </c>
      <c r="D197" s="3">
        <f t="shared" si="18"/>
        <v>168.12707894963734</v>
      </c>
      <c r="E197" s="3">
        <f t="shared" si="19"/>
        <v>112220.02975970278</v>
      </c>
    </row>
    <row r="198" spans="1:5" x14ac:dyDescent="0.45">
      <c r="A198" s="3">
        <f t="shared" si="20"/>
        <v>14.67189079878669</v>
      </c>
      <c r="B198" s="3">
        <f t="shared" si="21"/>
        <v>176.06268958544027</v>
      </c>
      <c r="C198" s="3">
        <f t="shared" si="22"/>
        <v>5.4981973969921292</v>
      </c>
      <c r="D198" s="3">
        <f t="shared" si="18"/>
        <v>167.23683749184394</v>
      </c>
      <c r="E198" s="3">
        <f t="shared" si="19"/>
        <v>112387.26659719463</v>
      </c>
    </row>
    <row r="199" spans="1:5" x14ac:dyDescent="0.45">
      <c r="A199" s="3">
        <f t="shared" si="20"/>
        <v>14.755224132120023</v>
      </c>
      <c r="B199" s="3">
        <f t="shared" si="21"/>
        <v>177.0626895854403</v>
      </c>
      <c r="C199" s="3">
        <f t="shared" si="22"/>
        <v>5.4692486163371408</v>
      </c>
      <c r="D199" s="3">
        <f t="shared" si="18"/>
        <v>166.3563120802547</v>
      </c>
      <c r="E199" s="3">
        <f t="shared" si="19"/>
        <v>112553.62290927488</v>
      </c>
    </row>
    <row r="200" spans="1:5" x14ac:dyDescent="0.45">
      <c r="A200" s="3">
        <f t="shared" si="20"/>
        <v>14.838557465453357</v>
      </c>
      <c r="B200" s="3">
        <f t="shared" si="21"/>
        <v>178.0626895854403</v>
      </c>
      <c r="C200" s="3">
        <f t="shared" si="22"/>
        <v>5.4406140063891186</v>
      </c>
      <c r="D200" s="3">
        <f t="shared" si="18"/>
        <v>165.48534269433569</v>
      </c>
      <c r="E200" s="3">
        <f t="shared" si="19"/>
        <v>112719.10825196921</v>
      </c>
    </row>
    <row r="201" spans="1:5" x14ac:dyDescent="0.45">
      <c r="A201" s="3">
        <f t="shared" si="20"/>
        <v>14.921890798786691</v>
      </c>
      <c r="B201" s="3">
        <f t="shared" si="21"/>
        <v>179.0626895854403</v>
      </c>
      <c r="C201" s="3">
        <f t="shared" si="22"/>
        <v>5.4122884217474665</v>
      </c>
      <c r="D201" s="3">
        <f t="shared" si="18"/>
        <v>164.62377282815211</v>
      </c>
      <c r="E201" s="3">
        <f t="shared" si="19"/>
        <v>112883.73202479737</v>
      </c>
    </row>
    <row r="202" spans="1:5" x14ac:dyDescent="0.45">
      <c r="A202" s="3">
        <f t="shared" si="20"/>
        <v>15.005224132120025</v>
      </c>
      <c r="B202" s="3">
        <f t="shared" si="21"/>
        <v>180.0626895854403</v>
      </c>
      <c r="C202" s="3">
        <f t="shared" si="22"/>
        <v>5.384266829394468</v>
      </c>
      <c r="D202" s="3">
        <f t="shared" si="18"/>
        <v>163.77144939408174</v>
      </c>
      <c r="E202" s="3">
        <f t="shared" si="19"/>
        <v>113047.50347419146</v>
      </c>
    </row>
    <row r="203" spans="1:5" x14ac:dyDescent="0.45">
      <c r="A203" s="3">
        <f t="shared" si="20"/>
        <v>15.088557465453359</v>
      </c>
      <c r="B203" s="3">
        <f t="shared" si="21"/>
        <v>181.0626895854403</v>
      </c>
      <c r="C203" s="3">
        <f t="shared" si="22"/>
        <v>5.3565443056334558</v>
      </c>
      <c r="D203" s="3">
        <f t="shared" si="18"/>
        <v>162.92822262968429</v>
      </c>
      <c r="E203" s="3">
        <f t="shared" si="19"/>
        <v>113210.43169682114</v>
      </c>
    </row>
    <row r="204" spans="1:5" x14ac:dyDescent="0.45">
      <c r="A204" s="3">
        <f t="shared" si="20"/>
        <v>15.171890798786693</v>
      </c>
      <c r="B204" s="3">
        <f t="shared" si="21"/>
        <v>182.06268958544032</v>
      </c>
      <c r="C204" s="3">
        <f t="shared" si="22"/>
        <v>5.3291160331267351</v>
      </c>
      <c r="D204" s="3">
        <f t="shared" si="18"/>
        <v>162.09394600760487</v>
      </c>
      <c r="E204" s="3">
        <f t="shared" si="19"/>
        <v>113372.52564282874</v>
      </c>
    </row>
    <row r="205" spans="1:5" x14ac:dyDescent="0.45">
      <c r="A205" s="3">
        <f t="shared" si="20"/>
        <v>15.255224132120027</v>
      </c>
      <c r="B205" s="3">
        <f t="shared" si="21"/>
        <v>183.06268958544032</v>
      </c>
      <c r="C205" s="3">
        <f t="shared" si="22"/>
        <v>5.3019772980295237</v>
      </c>
      <c r="D205" s="3">
        <f t="shared" si="18"/>
        <v>161.26847614839801</v>
      </c>
      <c r="E205" s="3">
        <f t="shared" si="19"/>
        <v>113533.79411897714</v>
      </c>
    </row>
    <row r="206" spans="1:5" x14ac:dyDescent="0.45">
      <c r="A206" s="3">
        <f t="shared" si="20"/>
        <v>15.338557465453361</v>
      </c>
      <c r="B206" s="3">
        <f t="shared" si="21"/>
        <v>184.06268958544032</v>
      </c>
      <c r="C206" s="3">
        <f t="shared" si="22"/>
        <v>5.2751234872163</v>
      </c>
      <c r="D206" s="3">
        <f t="shared" si="18"/>
        <v>160.45167273616246</v>
      </c>
      <c r="E206" s="3">
        <f t="shared" si="19"/>
        <v>113694.2457917133</v>
      </c>
    </row>
    <row r="207" spans="1:5" x14ac:dyDescent="0.45">
      <c r="A207" s="3">
        <f t="shared" si="20"/>
        <v>15.421890798786695</v>
      </c>
      <c r="B207" s="3">
        <f t="shared" si="21"/>
        <v>185.06268958544035</v>
      </c>
      <c r="C207" s="3">
        <f t="shared" si="22"/>
        <v>5.2485500855959932</v>
      </c>
      <c r="D207" s="3">
        <f t="shared" si="18"/>
        <v>159.64339843687813</v>
      </c>
      <c r="E207" s="3">
        <f t="shared" si="19"/>
        <v>113853.88919015018</v>
      </c>
    </row>
    <row r="208" spans="1:5" x14ac:dyDescent="0.45">
      <c r="A208" s="3">
        <f t="shared" si="20"/>
        <v>15.505224132120029</v>
      </c>
      <c r="B208" s="3">
        <f t="shared" si="21"/>
        <v>186.06268958544035</v>
      </c>
      <c r="C208" s="3">
        <f t="shared" si="22"/>
        <v>5.2222526735129309</v>
      </c>
      <c r="D208" s="3">
        <f t="shared" si="18"/>
        <v>158.84351881935166</v>
      </c>
      <c r="E208" s="3">
        <f t="shared" si="19"/>
        <v>114012.73270896953</v>
      </c>
    </row>
    <row r="209" spans="1:5" x14ac:dyDescent="0.45">
      <c r="A209" s="3">
        <f t="shared" si="20"/>
        <v>15.588557465453363</v>
      </c>
      <c r="B209" s="3">
        <f t="shared" si="21"/>
        <v>187.06268958544035</v>
      </c>
      <c r="C209" s="3">
        <f t="shared" si="22"/>
        <v>5.1962269242300438</v>
      </c>
      <c r="D209" s="3">
        <f t="shared" si="18"/>
        <v>158.05190227866385</v>
      </c>
      <c r="E209" s="3">
        <f t="shared" si="19"/>
        <v>114170.78461124819</v>
      </c>
    </row>
    <row r="210" spans="1:5" x14ac:dyDescent="0.45">
      <c r="A210" s="3">
        <f t="shared" si="20"/>
        <v>15.671890798786697</v>
      </c>
      <c r="B210" s="3">
        <f t="shared" si="21"/>
        <v>188.06268958544035</v>
      </c>
      <c r="C210" s="3">
        <f t="shared" si="22"/>
        <v>5.1704686014916517</v>
      </c>
      <c r="D210" s="3">
        <f t="shared" ref="D210:D262" si="23">C210*(365/12)</f>
        <v>157.26841996203774</v>
      </c>
      <c r="E210" s="3">
        <f t="shared" si="19"/>
        <v>114328.05303121023</v>
      </c>
    </row>
    <row r="211" spans="1:5" x14ac:dyDescent="0.45">
      <c r="A211" s="3">
        <f t="shared" si="20"/>
        <v>15.755224132120031</v>
      </c>
      <c r="B211" s="3">
        <f t="shared" si="21"/>
        <v>189.06268958544035</v>
      </c>
      <c r="C211" s="3">
        <f t="shared" si="22"/>
        <v>5.1449735571625812</v>
      </c>
      <c r="D211" s="3">
        <f t="shared" si="23"/>
        <v>156.49294569702852</v>
      </c>
      <c r="E211" s="3">
        <f t="shared" ref="E211:E262" si="24">E210+D211</f>
        <v>114484.54597690726</v>
      </c>
    </row>
    <row r="212" spans="1:5" x14ac:dyDescent="0.45">
      <c r="A212" s="3">
        <f t="shared" si="20"/>
        <v>15.838557465453365</v>
      </c>
      <c r="B212" s="3">
        <f t="shared" si="21"/>
        <v>190.06268958544038</v>
      </c>
      <c r="C212" s="3">
        <f t="shared" si="22"/>
        <v>5.1197377289410921</v>
      </c>
      <c r="D212" s="3">
        <f t="shared" si="23"/>
        <v>155.72535592195823</v>
      </c>
      <c r="E212" s="3">
        <f t="shared" si="24"/>
        <v>114640.27133282922</v>
      </c>
    </row>
    <row r="213" spans="1:5" x14ac:dyDescent="0.45">
      <c r="A213" s="3">
        <f t="shared" si="20"/>
        <v>15.921890798786698</v>
      </c>
      <c r="B213" s="3">
        <f t="shared" si="21"/>
        <v>191.06268958544038</v>
      </c>
      <c r="C213" s="3">
        <f t="shared" si="22"/>
        <v>5.0947571381427599</v>
      </c>
      <c r="D213" s="3">
        <f t="shared" si="23"/>
        <v>154.96552961850895</v>
      </c>
      <c r="E213" s="3">
        <f t="shared" si="24"/>
        <v>114795.23686244772</v>
      </c>
    </row>
    <row r="214" spans="1:5" x14ac:dyDescent="0.45">
      <c r="A214" s="3">
        <f t="shared" si="20"/>
        <v>16.005224132120031</v>
      </c>
      <c r="B214" s="3">
        <f t="shared" si="21"/>
        <v>192.06268958544035</v>
      </c>
      <c r="C214" s="3">
        <f t="shared" si="22"/>
        <v>5.0700278875528531</v>
      </c>
      <c r="D214" s="3">
        <f t="shared" si="23"/>
        <v>154.21334824639928</v>
      </c>
      <c r="E214" s="3">
        <f t="shared" si="24"/>
        <v>114949.45021069412</v>
      </c>
    </row>
    <row r="215" spans="1:5" x14ac:dyDescent="0.45">
      <c r="A215" s="3">
        <f t="shared" si="20"/>
        <v>16.088557465453363</v>
      </c>
      <c r="B215" s="3">
        <f t="shared" si="21"/>
        <v>193.06268958544035</v>
      </c>
      <c r="C215" s="3">
        <f t="shared" si="22"/>
        <v>5.0455461593446884</v>
      </c>
      <c r="D215" s="3">
        <f t="shared" si="23"/>
        <v>153.46869568006761</v>
      </c>
      <c r="E215" s="3">
        <f t="shared" si="24"/>
        <v>115102.91890637419</v>
      </c>
    </row>
    <row r="216" spans="1:5" x14ac:dyDescent="0.45">
      <c r="A216" s="3">
        <f t="shared" si="20"/>
        <v>16.171890798786695</v>
      </c>
      <c r="B216" s="3">
        <f t="shared" si="21"/>
        <v>194.06268958544035</v>
      </c>
      <c r="C216" s="3">
        <f t="shared" si="22"/>
        <v>5.0213082130616256</v>
      </c>
      <c r="D216" s="3">
        <f t="shared" si="23"/>
        <v>152.73145814729111</v>
      </c>
      <c r="E216" s="3">
        <f t="shared" si="24"/>
        <v>115255.65036452148</v>
      </c>
    </row>
    <row r="217" spans="1:5" x14ac:dyDescent="0.45">
      <c r="A217" s="3">
        <f t="shared" si="20"/>
        <v>16.255224132120027</v>
      </c>
      <c r="B217" s="3">
        <f t="shared" si="21"/>
        <v>195.06268958544032</v>
      </c>
      <c r="C217" s="3">
        <f t="shared" si="22"/>
        <v>4.9973103836605013</v>
      </c>
      <c r="D217" s="3">
        <f t="shared" si="23"/>
        <v>152.00152416967359</v>
      </c>
      <c r="E217" s="3">
        <f t="shared" si="24"/>
        <v>115407.65188869115</v>
      </c>
    </row>
    <row r="218" spans="1:5" x14ac:dyDescent="0.45">
      <c r="A218" s="3">
        <f t="shared" si="20"/>
        <v>16.338557465453359</v>
      </c>
      <c r="B218" s="3">
        <f t="shared" si="21"/>
        <v>196.0626895854403</v>
      </c>
      <c r="C218" s="3">
        <f t="shared" si="22"/>
        <v>4.9735490796141626</v>
      </c>
      <c r="D218" s="3">
        <f t="shared" si="23"/>
        <v>151.2787845049308</v>
      </c>
      <c r="E218" s="3">
        <f t="shared" si="24"/>
        <v>115558.93067319608</v>
      </c>
    </row>
    <row r="219" spans="1:5" x14ac:dyDescent="0.45">
      <c r="A219" s="3">
        <f t="shared" si="20"/>
        <v>16.421890798786691</v>
      </c>
      <c r="B219" s="3">
        <f t="shared" si="21"/>
        <v>197.0626895854403</v>
      </c>
      <c r="C219" s="3">
        <f t="shared" si="22"/>
        <v>4.950020781071248</v>
      </c>
      <c r="D219" s="3">
        <f t="shared" si="23"/>
        <v>150.56313209091712</v>
      </c>
      <c r="E219" s="3">
        <f t="shared" si="24"/>
        <v>115709.493805287</v>
      </c>
    </row>
    <row r="220" spans="1:5" x14ac:dyDescent="0.45">
      <c r="A220" s="3">
        <f t="shared" si="20"/>
        <v>16.505224132120023</v>
      </c>
      <c r="B220" s="3">
        <f t="shared" si="21"/>
        <v>198.0626895854403</v>
      </c>
      <c r="C220" s="3">
        <f t="shared" si="22"/>
        <v>4.9267220380709889</v>
      </c>
      <c r="D220" s="3">
        <f t="shared" si="23"/>
        <v>149.85446199132591</v>
      </c>
      <c r="E220" s="3">
        <f t="shared" si="24"/>
        <v>115859.34826727833</v>
      </c>
    </row>
    <row r="221" spans="1:5" x14ac:dyDescent="0.45">
      <c r="A221" s="3">
        <f t="shared" si="20"/>
        <v>16.588557465453356</v>
      </c>
      <c r="B221" s="3">
        <f t="shared" si="21"/>
        <v>199.06268958544027</v>
      </c>
      <c r="C221" s="3">
        <f t="shared" si="22"/>
        <v>4.9036494688113113</v>
      </c>
      <c r="D221" s="3">
        <f t="shared" si="23"/>
        <v>149.15267134301072</v>
      </c>
      <c r="E221" s="3">
        <f t="shared" si="24"/>
        <v>116008.50093862134</v>
      </c>
    </row>
    <row r="222" spans="1:5" x14ac:dyDescent="0.45">
      <c r="A222" s="3">
        <f t="shared" si="20"/>
        <v>16.671890798786688</v>
      </c>
      <c r="B222" s="3">
        <f t="shared" si="21"/>
        <v>200.06268958544024</v>
      </c>
      <c r="C222" s="3">
        <f t="shared" si="22"/>
        <v>4.8807997579682105</v>
      </c>
      <c r="D222" s="3">
        <f t="shared" si="23"/>
        <v>148.45765930486641</v>
      </c>
      <c r="E222" s="3">
        <f t="shared" si="24"/>
        <v>116156.9585979262</v>
      </c>
    </row>
    <row r="223" spans="1:5" x14ac:dyDescent="0.45">
      <c r="A223" s="3">
        <f t="shared" ref="A223:A262" si="25">A222+(1/12)</f>
        <v>16.75522413212002</v>
      </c>
      <c r="B223" s="3">
        <f t="shared" ref="B223:B262" si="26">A223*12</f>
        <v>201.06268958544024</v>
      </c>
      <c r="C223" s="3">
        <f t="shared" ref="C223:C262" si="27">$B$4*(B223^$B$5)</f>
        <v>4.858169655064815</v>
      </c>
      <c r="D223" s="3">
        <f t="shared" si="23"/>
        <v>147.76932700822147</v>
      </c>
      <c r="E223" s="3">
        <f t="shared" si="24"/>
        <v>116304.72792493443</v>
      </c>
    </row>
    <row r="224" spans="1:5" x14ac:dyDescent="0.45">
      <c r="A224" s="3">
        <f t="shared" si="25"/>
        <v>16.838557465453352</v>
      </c>
      <c r="B224" s="3">
        <f t="shared" si="26"/>
        <v>202.06268958544024</v>
      </c>
      <c r="C224" s="3">
        <f t="shared" si="27"/>
        <v>4.8357559728882196</v>
      </c>
      <c r="D224" s="3">
        <f t="shared" si="23"/>
        <v>147.08757750868335</v>
      </c>
      <c r="E224" s="3">
        <f t="shared" si="24"/>
        <v>116451.81550244312</v>
      </c>
    </row>
    <row r="225" spans="1:5" x14ac:dyDescent="0.45">
      <c r="A225" s="3">
        <f t="shared" si="25"/>
        <v>16.921890798786684</v>
      </c>
      <c r="B225" s="3">
        <f t="shared" si="26"/>
        <v>203.06268958544021</v>
      </c>
      <c r="C225" s="3">
        <f t="shared" si="27"/>
        <v>4.8135555859527122</v>
      </c>
      <c r="D225" s="3">
        <f t="shared" si="23"/>
        <v>146.41231573939501</v>
      </c>
      <c r="E225" s="3">
        <f t="shared" si="24"/>
        <v>116598.22781818251</v>
      </c>
    </row>
    <row r="226" spans="1:5" x14ac:dyDescent="0.45">
      <c r="A226" s="3">
        <f t="shared" si="25"/>
        <v>17.005224132120016</v>
      </c>
      <c r="B226" s="3">
        <f t="shared" si="26"/>
        <v>204.06268958544018</v>
      </c>
      <c r="C226" s="3">
        <f t="shared" si="27"/>
        <v>4.7915654290075684</v>
      </c>
      <c r="D226" s="3">
        <f t="shared" si="23"/>
        <v>145.74344846564688</v>
      </c>
      <c r="E226" s="3">
        <f t="shared" si="24"/>
        <v>116743.97126664815</v>
      </c>
    </row>
    <row r="227" spans="1:5" x14ac:dyDescent="0.45">
      <c r="A227" s="3">
        <f t="shared" si="25"/>
        <v>17.088557465453349</v>
      </c>
      <c r="B227" s="3">
        <f t="shared" si="26"/>
        <v>205.06268958544018</v>
      </c>
      <c r="C227" s="3">
        <f t="shared" si="27"/>
        <v>4.7697824955880703</v>
      </c>
      <c r="D227" s="3">
        <f t="shared" si="23"/>
        <v>145.08088424080381</v>
      </c>
      <c r="E227" s="3">
        <f t="shared" si="24"/>
        <v>116889.05215088895</v>
      </c>
    </row>
    <row r="228" spans="1:5" x14ac:dyDescent="0.45">
      <c r="A228" s="3">
        <f t="shared" si="25"/>
        <v>17.171890798786681</v>
      </c>
      <c r="B228" s="3">
        <f t="shared" si="26"/>
        <v>206.06268958544018</v>
      </c>
      <c r="C228" s="3">
        <f t="shared" si="27"/>
        <v>4.7482038366082584</v>
      </c>
      <c r="D228" s="3">
        <f t="shared" si="23"/>
        <v>144.42453336350121</v>
      </c>
      <c r="E228" s="3">
        <f t="shared" si="24"/>
        <v>117033.47668425246</v>
      </c>
    </row>
    <row r="229" spans="1:5" x14ac:dyDescent="0.45">
      <c r="A229" s="3">
        <f t="shared" si="25"/>
        <v>17.255224132120013</v>
      </c>
      <c r="B229" s="3">
        <f t="shared" si="26"/>
        <v>207.06268958544015</v>
      </c>
      <c r="C229" s="3">
        <f t="shared" si="27"/>
        <v>4.7268265589939675</v>
      </c>
      <c r="D229" s="3">
        <f t="shared" si="23"/>
        <v>143.77430783606653</v>
      </c>
      <c r="E229" s="3">
        <f t="shared" si="24"/>
        <v>117177.25099208852</v>
      </c>
    </row>
    <row r="230" spans="1:5" x14ac:dyDescent="0.45">
      <c r="A230" s="3">
        <f t="shared" si="25"/>
        <v>17.338557465453345</v>
      </c>
      <c r="B230" s="3">
        <f t="shared" si="26"/>
        <v>208.06268958544013</v>
      </c>
      <c r="C230" s="3">
        <f t="shared" si="27"/>
        <v>4.7056478243548634</v>
      </c>
      <c r="D230" s="3">
        <f t="shared" si="23"/>
        <v>143.13012132412709</v>
      </c>
      <c r="E230" s="3">
        <f t="shared" si="24"/>
        <v>117320.38111341264</v>
      </c>
    </row>
    <row r="231" spans="1:5" x14ac:dyDescent="0.45">
      <c r="A231" s="3">
        <f t="shared" si="25"/>
        <v>17.421890798786677</v>
      </c>
      <c r="B231" s="3">
        <f t="shared" si="26"/>
        <v>209.06268958544013</v>
      </c>
      <c r="C231" s="3">
        <f t="shared" si="27"/>
        <v>4.6846648476941732</v>
      </c>
      <c r="D231" s="3">
        <f t="shared" si="23"/>
        <v>142.49188911736445</v>
      </c>
      <c r="E231" s="3">
        <f t="shared" si="24"/>
        <v>117462.87300253</v>
      </c>
    </row>
    <row r="232" spans="1:5" x14ac:dyDescent="0.45">
      <c r="A232" s="3">
        <f t="shared" si="25"/>
        <v>17.505224132120009</v>
      </c>
      <c r="B232" s="3">
        <f t="shared" si="26"/>
        <v>210.06268958544013</v>
      </c>
      <c r="C232" s="3">
        <f t="shared" si="27"/>
        <v>4.6638748961548409</v>
      </c>
      <c r="D232" s="3">
        <f t="shared" si="23"/>
        <v>141.8595280913764</v>
      </c>
      <c r="E232" s="3">
        <f t="shared" si="24"/>
        <v>117604.73253062138</v>
      </c>
    </row>
    <row r="233" spans="1:5" x14ac:dyDescent="0.45">
      <c r="A233" s="3">
        <f t="shared" si="25"/>
        <v>17.588557465453341</v>
      </c>
      <c r="B233" s="3">
        <f t="shared" si="26"/>
        <v>211.0626895854401</v>
      </c>
      <c r="C233" s="3">
        <f t="shared" si="27"/>
        <v>4.6432752878009476</v>
      </c>
      <c r="D233" s="3">
        <f t="shared" si="23"/>
        <v>141.23295667061217</v>
      </c>
      <c r="E233" s="3">
        <f t="shared" si="24"/>
        <v>117745.96548729199</v>
      </c>
    </row>
    <row r="234" spans="1:5" x14ac:dyDescent="0.45">
      <c r="A234" s="3">
        <f t="shared" si="25"/>
        <v>17.671890798786674</v>
      </c>
      <c r="B234" s="3">
        <f t="shared" si="26"/>
        <v>212.06268958544007</v>
      </c>
      <c r="C234" s="3">
        <f t="shared" si="27"/>
        <v>4.6228633904331966</v>
      </c>
      <c r="D234" s="3">
        <f t="shared" si="23"/>
        <v>140.61209479234307</v>
      </c>
      <c r="E234" s="3">
        <f t="shared" si="24"/>
        <v>117886.57758208434</v>
      </c>
    </row>
    <row r="235" spans="1:5" x14ac:dyDescent="0.45">
      <c r="A235" s="3">
        <f t="shared" si="25"/>
        <v>17.755224132120006</v>
      </c>
      <c r="B235" s="3">
        <f t="shared" si="26"/>
        <v>213.06268958544007</v>
      </c>
      <c r="C235" s="3">
        <f t="shared" si="27"/>
        <v>4.6026366204374183</v>
      </c>
      <c r="D235" s="3">
        <f t="shared" si="23"/>
        <v>139.99686387163814</v>
      </c>
      <c r="E235" s="3">
        <f t="shared" si="24"/>
        <v>118026.57444595598</v>
      </c>
    </row>
    <row r="236" spans="1:5" x14ac:dyDescent="0.45">
      <c r="A236" s="3">
        <f t="shared" si="25"/>
        <v>17.838557465453338</v>
      </c>
      <c r="B236" s="3">
        <f t="shared" si="26"/>
        <v>214.06268958544007</v>
      </c>
      <c r="C236" s="3">
        <f t="shared" si="27"/>
        <v>4.5825924416649766</v>
      </c>
      <c r="D236" s="3">
        <f t="shared" si="23"/>
        <v>139.38718676730971</v>
      </c>
      <c r="E236" s="3">
        <f t="shared" si="24"/>
        <v>118165.96163272329</v>
      </c>
    </row>
    <row r="237" spans="1:5" x14ac:dyDescent="0.45">
      <c r="A237" s="3">
        <f t="shared" si="25"/>
        <v>17.92189079878667</v>
      </c>
      <c r="B237" s="3">
        <f t="shared" si="26"/>
        <v>215.06268958544004</v>
      </c>
      <c r="C237" s="3">
        <f t="shared" si="27"/>
        <v>4.5627283643440322</v>
      </c>
      <c r="D237" s="3">
        <f t="shared" si="23"/>
        <v>138.78298774879764</v>
      </c>
      <c r="E237" s="3">
        <f t="shared" si="24"/>
        <v>118304.74462047209</v>
      </c>
    </row>
    <row r="238" spans="1:5" x14ac:dyDescent="0.45">
      <c r="A238" s="3">
        <f t="shared" si="25"/>
        <v>18.005224132120002</v>
      </c>
      <c r="B238" s="3">
        <f t="shared" si="26"/>
        <v>216.06268958544001</v>
      </c>
      <c r="C238" s="3">
        <f t="shared" si="27"/>
        <v>4.5430419440207581</v>
      </c>
      <c r="D238" s="3">
        <f t="shared" si="23"/>
        <v>138.18419246396473</v>
      </c>
      <c r="E238" s="3">
        <f t="shared" si="24"/>
        <v>118442.92881293605</v>
      </c>
    </row>
    <row r="239" spans="1:5" x14ac:dyDescent="0.45">
      <c r="A239" s="3">
        <f t="shared" si="25"/>
        <v>18.088557465453334</v>
      </c>
      <c r="B239" s="3">
        <f t="shared" si="26"/>
        <v>217.06268958544001</v>
      </c>
      <c r="C239" s="3">
        <f t="shared" si="27"/>
        <v>4.5235307805294429</v>
      </c>
      <c r="D239" s="3">
        <f t="shared" si="23"/>
        <v>137.59072790777057</v>
      </c>
      <c r="E239" s="3">
        <f t="shared" si="24"/>
        <v>118580.51954084382</v>
      </c>
    </row>
    <row r="240" spans="1:5" x14ac:dyDescent="0.45">
      <c r="A240" s="3">
        <f t="shared" si="25"/>
        <v>18.171890798786666</v>
      </c>
      <c r="B240" s="3">
        <f t="shared" si="26"/>
        <v>218.06268958544001</v>
      </c>
      <c r="C240" s="3">
        <f t="shared" si="27"/>
        <v>4.5041925169906545</v>
      </c>
      <c r="D240" s="3">
        <f t="shared" si="23"/>
        <v>137.00252239179909</v>
      </c>
      <c r="E240" s="3">
        <f t="shared" si="24"/>
        <v>118717.52206323562</v>
      </c>
    </row>
    <row r="241" spans="1:5" x14ac:dyDescent="0.45">
      <c r="A241" s="3">
        <f t="shared" si="25"/>
        <v>18.255224132119999</v>
      </c>
      <c r="B241" s="3">
        <f t="shared" si="26"/>
        <v>219.06268958543998</v>
      </c>
      <c r="C241" s="3">
        <f t="shared" si="27"/>
        <v>4.4850248388365159</v>
      </c>
      <c r="D241" s="3">
        <f t="shared" si="23"/>
        <v>136.41950551461071</v>
      </c>
      <c r="E241" s="3">
        <f t="shared" si="24"/>
        <v>118853.94156875023</v>
      </c>
    </row>
    <row r="242" spans="1:5" x14ac:dyDescent="0.45">
      <c r="A242" s="3">
        <f t="shared" si="25"/>
        <v>18.338557465453331</v>
      </c>
      <c r="B242" s="3">
        <f t="shared" si="26"/>
        <v>220.06268958543995</v>
      </c>
      <c r="C242" s="3">
        <f t="shared" si="27"/>
        <v>4.4660254728622615</v>
      </c>
      <c r="D242" s="3">
        <f t="shared" si="23"/>
        <v>135.84160813289378</v>
      </c>
      <c r="E242" s="3">
        <f t="shared" si="24"/>
        <v>118989.78317688312</v>
      </c>
    </row>
    <row r="243" spans="1:5" x14ac:dyDescent="0.45">
      <c r="A243" s="3">
        <f t="shared" si="25"/>
        <v>18.421890798786663</v>
      </c>
      <c r="B243" s="3">
        <f t="shared" si="26"/>
        <v>221.06268958543995</v>
      </c>
      <c r="C243" s="3">
        <f t="shared" si="27"/>
        <v>4.4471921863032486</v>
      </c>
      <c r="D243" s="3">
        <f t="shared" si="23"/>
        <v>135.2687623333905</v>
      </c>
      <c r="E243" s="3">
        <f t="shared" si="24"/>
        <v>119125.05193921652</v>
      </c>
    </row>
    <row r="244" spans="1:5" x14ac:dyDescent="0.45">
      <c r="A244" s="3">
        <f t="shared" si="25"/>
        <v>18.505224132119995</v>
      </c>
      <c r="B244" s="3">
        <f t="shared" si="26"/>
        <v>222.06268958543995</v>
      </c>
      <c r="C244" s="3">
        <f t="shared" si="27"/>
        <v>4.4285227859366376</v>
      </c>
      <c r="D244" s="3">
        <f t="shared" si="23"/>
        <v>134.70090140557272</v>
      </c>
      <c r="E244" s="3">
        <f t="shared" si="24"/>
        <v>119259.75284062208</v>
      </c>
    </row>
    <row r="245" spans="1:5" x14ac:dyDescent="0.45">
      <c r="A245" s="3">
        <f t="shared" si="25"/>
        <v>18.588557465453327</v>
      </c>
      <c r="B245" s="3">
        <f t="shared" si="26"/>
        <v>223.06268958543993</v>
      </c>
      <c r="C245" s="3">
        <f t="shared" si="27"/>
        <v>4.4100151172069522</v>
      </c>
      <c r="D245" s="3">
        <f t="shared" si="23"/>
        <v>134.13795981504481</v>
      </c>
      <c r="E245" s="3">
        <f t="shared" si="24"/>
        <v>119393.89080043712</v>
      </c>
    </row>
    <row r="246" spans="1:5" x14ac:dyDescent="0.45">
      <c r="A246" s="3">
        <f t="shared" si="25"/>
        <v>18.671890798786659</v>
      </c>
      <c r="B246" s="3">
        <f t="shared" si="26"/>
        <v>224.0626895854399</v>
      </c>
      <c r="C246" s="3">
        <f t="shared" si="27"/>
        <v>4.3916670633748236</v>
      </c>
      <c r="D246" s="3">
        <f t="shared" si="23"/>
        <v>133.57987317765088</v>
      </c>
      <c r="E246" s="3">
        <f t="shared" si="24"/>
        <v>119527.47067361476</v>
      </c>
    </row>
    <row r="247" spans="1:5" x14ac:dyDescent="0.45">
      <c r="A247" s="3">
        <f t="shared" si="25"/>
        <v>18.755224132119992</v>
      </c>
      <c r="B247" s="3">
        <f t="shared" si="26"/>
        <v>225.0626895854399</v>
      </c>
      <c r="C247" s="3">
        <f t="shared" si="27"/>
        <v>4.3734765446881179</v>
      </c>
      <c r="D247" s="3">
        <f t="shared" si="23"/>
        <v>133.02657823426358</v>
      </c>
      <c r="E247" s="3">
        <f t="shared" si="24"/>
        <v>119660.49725184902</v>
      </c>
    </row>
    <row r="248" spans="1:5" x14ac:dyDescent="0.45">
      <c r="A248" s="3">
        <f t="shared" si="25"/>
        <v>18.838557465453324</v>
      </c>
      <c r="B248" s="3">
        <f t="shared" si="26"/>
        <v>226.0626895854399</v>
      </c>
      <c r="C248" s="3">
        <f t="shared" si="27"/>
        <v>4.3554415175748922</v>
      </c>
      <c r="D248" s="3">
        <f t="shared" si="23"/>
        <v>132.4780128262363</v>
      </c>
      <c r="E248" s="3">
        <f t="shared" si="24"/>
        <v>119792.97526467526</v>
      </c>
    </row>
    <row r="249" spans="1:5" x14ac:dyDescent="0.45">
      <c r="A249" s="3">
        <f t="shared" si="25"/>
        <v>18.921890798786656</v>
      </c>
      <c r="B249" s="3">
        <f t="shared" si="26"/>
        <v>227.06268958543987</v>
      </c>
      <c r="C249" s="3">
        <f t="shared" si="27"/>
        <v>4.3375599738573545</v>
      </c>
      <c r="D249" s="3">
        <f t="shared" si="23"/>
        <v>131.93411587149453</v>
      </c>
      <c r="E249" s="3">
        <f t="shared" si="24"/>
        <v>119924.90938054676</v>
      </c>
    </row>
    <row r="250" spans="1:5" x14ac:dyDescent="0.45">
      <c r="A250" s="3">
        <f t="shared" si="25"/>
        <v>19.005224132119988</v>
      </c>
      <c r="B250" s="3">
        <f t="shared" si="26"/>
        <v>228.06268958543984</v>
      </c>
      <c r="C250" s="3">
        <f t="shared" si="27"/>
        <v>4.3198299399863549</v>
      </c>
      <c r="D250" s="3">
        <f t="shared" si="23"/>
        <v>131.39482734125164</v>
      </c>
      <c r="E250" s="3">
        <f t="shared" si="24"/>
        <v>120056.30420788801</v>
      </c>
    </row>
    <row r="251" spans="1:5" x14ac:dyDescent="0.45">
      <c r="A251" s="3">
        <f t="shared" si="25"/>
        <v>19.08855746545332</v>
      </c>
      <c r="B251" s="3">
        <f t="shared" si="26"/>
        <v>229.06268958543984</v>
      </c>
      <c r="C251" s="3">
        <f t="shared" si="27"/>
        <v>4.3022494762956418</v>
      </c>
      <c r="D251" s="3">
        <f t="shared" si="23"/>
        <v>130.86008823732578</v>
      </c>
      <c r="E251" s="3">
        <f t="shared" si="24"/>
        <v>120187.16429612534</v>
      </c>
    </row>
    <row r="252" spans="1:5" x14ac:dyDescent="0.45">
      <c r="A252" s="3">
        <f t="shared" si="25"/>
        <v>19.171890798786652</v>
      </c>
      <c r="B252" s="3">
        <f t="shared" si="26"/>
        <v>230.06268958543984</v>
      </c>
      <c r="C252" s="3">
        <f t="shared" si="27"/>
        <v>4.2848166762753888</v>
      </c>
      <c r="D252" s="3">
        <f t="shared" si="23"/>
        <v>130.32984057004307</v>
      </c>
      <c r="E252" s="3">
        <f t="shared" si="24"/>
        <v>120317.49413669539</v>
      </c>
    </row>
    <row r="253" spans="1:5" x14ac:dyDescent="0.45">
      <c r="A253" s="3">
        <f t="shared" si="25"/>
        <v>19.255224132119984</v>
      </c>
      <c r="B253" s="3">
        <f t="shared" si="26"/>
        <v>231.06268958543981</v>
      </c>
      <c r="C253" s="3">
        <f t="shared" si="27"/>
        <v>4.2675296658643314</v>
      </c>
      <c r="D253" s="3">
        <f t="shared" si="23"/>
        <v>129.80402733670675</v>
      </c>
      <c r="E253" s="3">
        <f t="shared" si="24"/>
        <v>120447.29816403209</v>
      </c>
    </row>
    <row r="254" spans="1:5" x14ac:dyDescent="0.45">
      <c r="A254" s="3">
        <f t="shared" si="25"/>
        <v>19.338557465453317</v>
      </c>
      <c r="B254" s="3">
        <f t="shared" si="26"/>
        <v>232.06268958543978</v>
      </c>
      <c r="C254" s="3">
        <f t="shared" si="27"/>
        <v>4.250386602760079</v>
      </c>
      <c r="D254" s="3">
        <f t="shared" si="23"/>
        <v>129.28259250061907</v>
      </c>
      <c r="E254" s="3">
        <f t="shared" si="24"/>
        <v>120576.58075653271</v>
      </c>
    </row>
    <row r="255" spans="1:5" x14ac:dyDescent="0.45">
      <c r="A255" s="3">
        <f t="shared" si="25"/>
        <v>19.421890798786649</v>
      </c>
      <c r="B255" s="3">
        <f t="shared" si="26"/>
        <v>233.06268958543978</v>
      </c>
      <c r="C255" s="3">
        <f t="shared" si="27"/>
        <v>4.2333856757468737</v>
      </c>
      <c r="D255" s="3">
        <f t="shared" si="23"/>
        <v>128.76548097063409</v>
      </c>
      <c r="E255" s="3">
        <f t="shared" si="24"/>
        <v>120705.34623750334</v>
      </c>
    </row>
    <row r="256" spans="1:5" x14ac:dyDescent="0.45">
      <c r="A256" s="3">
        <f t="shared" si="25"/>
        <v>19.505224132119981</v>
      </c>
      <c r="B256" s="3">
        <f t="shared" si="26"/>
        <v>234.06268958543978</v>
      </c>
      <c r="C256" s="3">
        <f t="shared" si="27"/>
        <v>4.2165251040404943</v>
      </c>
      <c r="D256" s="3">
        <f t="shared" si="23"/>
        <v>128.25263858123171</v>
      </c>
      <c r="E256" s="3">
        <f t="shared" si="24"/>
        <v>120833.59887608458</v>
      </c>
    </row>
    <row r="257" spans="1:5" x14ac:dyDescent="0.45">
      <c r="A257" s="3">
        <f t="shared" si="25"/>
        <v>19.588557465453313</v>
      </c>
      <c r="B257" s="3">
        <f t="shared" si="26"/>
        <v>235.06268958543976</v>
      </c>
      <c r="C257" s="3">
        <f t="shared" si="27"/>
        <v>4.1998031366496411</v>
      </c>
      <c r="D257" s="3">
        <f t="shared" si="23"/>
        <v>127.74401207309326</v>
      </c>
      <c r="E257" s="3">
        <f t="shared" si="24"/>
        <v>120961.34288815767</v>
      </c>
    </row>
    <row r="258" spans="1:5" x14ac:dyDescent="0.45">
      <c r="A258" s="3">
        <f t="shared" si="25"/>
        <v>19.671890798786645</v>
      </c>
      <c r="B258" s="3">
        <f t="shared" si="26"/>
        <v>236.06268958543973</v>
      </c>
      <c r="C258" s="3">
        <f t="shared" si="27"/>
        <v>4.1832180517533475</v>
      </c>
      <c r="D258" s="3">
        <f t="shared" si="23"/>
        <v>127.23954907416433</v>
      </c>
      <c r="E258" s="3">
        <f t="shared" si="24"/>
        <v>121088.58243723183</v>
      </c>
    </row>
    <row r="259" spans="1:5" x14ac:dyDescent="0.45">
      <c r="A259" s="3">
        <f t="shared" si="25"/>
        <v>19.755224132119977</v>
      </c>
      <c r="B259" s="3">
        <f t="shared" si="26"/>
        <v>237.06268958543973</v>
      </c>
      <c r="C259" s="3">
        <f t="shared" si="27"/>
        <v>4.1667681560940659</v>
      </c>
      <c r="D259" s="3">
        <f t="shared" si="23"/>
        <v>126.73919808119452</v>
      </c>
      <c r="E259" s="3">
        <f t="shared" si="24"/>
        <v>121215.32163531303</v>
      </c>
    </row>
    <row r="260" spans="1:5" x14ac:dyDescent="0.45">
      <c r="A260" s="3">
        <f t="shared" si="25"/>
        <v>19.838557465453309</v>
      </c>
      <c r="B260" s="3">
        <f t="shared" si="26"/>
        <v>238.06268958543973</v>
      </c>
      <c r="C260" s="3">
        <f t="shared" si="27"/>
        <v>4.1504517843857558</v>
      </c>
      <c r="D260" s="3">
        <f t="shared" si="23"/>
        <v>126.24290844173341</v>
      </c>
      <c r="E260" s="3">
        <f t="shared" si="24"/>
        <v>121341.56454375476</v>
      </c>
    </row>
    <row r="261" spans="1:5" x14ac:dyDescent="0.45">
      <c r="A261" s="3">
        <f t="shared" si="25"/>
        <v>19.921890798786642</v>
      </c>
      <c r="B261" s="3">
        <f t="shared" si="26"/>
        <v>239.0626895854397</v>
      </c>
      <c r="C261" s="3">
        <f t="shared" si="27"/>
        <v>4.134267298736761</v>
      </c>
      <c r="D261" s="3">
        <f t="shared" si="23"/>
        <v>125.75063033657649</v>
      </c>
      <c r="E261" s="3">
        <f t="shared" si="24"/>
        <v>121467.31517409135</v>
      </c>
    </row>
    <row r="262" spans="1:5" x14ac:dyDescent="0.45">
      <c r="A262" s="3">
        <f t="shared" si="25"/>
        <v>20.005224132119974</v>
      </c>
      <c r="B262" s="3">
        <f t="shared" si="26"/>
        <v>240.06268958543967</v>
      </c>
      <c r="C262" s="3">
        <f t="shared" si="27"/>
        <v>4.1182130880868941</v>
      </c>
      <c r="D262" s="3">
        <f t="shared" si="23"/>
        <v>125.26231476264303</v>
      </c>
      <c r="E262" s="3">
        <f t="shared" si="24"/>
        <v>121592.57748885399</v>
      </c>
    </row>
    <row r="263" spans="1:5" x14ac:dyDescent="0.45">
      <c r="A263" s="10"/>
      <c r="B263" s="10"/>
      <c r="C263" s="10"/>
      <c r="D263" s="10"/>
      <c r="E263" s="10"/>
    </row>
    <row r="264" spans="1:5" x14ac:dyDescent="0.45">
      <c r="A264" s="10"/>
      <c r="B264" s="10"/>
      <c r="C264" s="10"/>
      <c r="D264" s="10"/>
      <c r="E264" s="10"/>
    </row>
    <row r="265" spans="1:5" x14ac:dyDescent="0.45">
      <c r="A265" s="10"/>
      <c r="B265" s="10"/>
      <c r="C265" s="10"/>
      <c r="D265" s="10"/>
      <c r="E265" s="10"/>
    </row>
    <row r="266" spans="1:5" x14ac:dyDescent="0.45">
      <c r="A266" s="10"/>
      <c r="B266" s="10"/>
      <c r="C266" s="10"/>
      <c r="D266" s="10"/>
      <c r="E266" s="10"/>
    </row>
    <row r="267" spans="1:5" x14ac:dyDescent="0.45">
      <c r="A267" s="10"/>
      <c r="B267" s="10"/>
      <c r="C267" s="10"/>
      <c r="D267" s="10"/>
      <c r="E267" s="10"/>
    </row>
    <row r="268" spans="1:5" x14ac:dyDescent="0.45">
      <c r="A268" s="10"/>
      <c r="B268" s="10"/>
      <c r="C268" s="10"/>
      <c r="D268" s="10"/>
      <c r="E268" s="10"/>
    </row>
    <row r="269" spans="1:5" x14ac:dyDescent="0.45">
      <c r="A269" s="10"/>
      <c r="B269" s="10"/>
      <c r="C269" s="10"/>
      <c r="D269" s="10"/>
      <c r="E269" s="10"/>
    </row>
    <row r="270" spans="1:5" x14ac:dyDescent="0.45">
      <c r="A270" s="10"/>
      <c r="B270" s="10"/>
      <c r="C270" s="10"/>
      <c r="D270" s="10"/>
      <c r="E270" s="10"/>
    </row>
    <row r="271" spans="1:5" x14ac:dyDescent="0.45">
      <c r="A271" s="10"/>
      <c r="B271" s="10"/>
      <c r="C271" s="10"/>
      <c r="D271" s="10"/>
      <c r="E271" s="10"/>
    </row>
    <row r="272" spans="1:5" x14ac:dyDescent="0.45">
      <c r="A272" s="10"/>
      <c r="B272" s="10"/>
      <c r="C272" s="10"/>
      <c r="D272" s="10"/>
      <c r="E272" s="10"/>
    </row>
    <row r="273" spans="1:5" x14ac:dyDescent="0.45">
      <c r="A273" s="10"/>
      <c r="B273" s="10"/>
      <c r="C273" s="10"/>
      <c r="D273" s="10"/>
      <c r="E273" s="10"/>
    </row>
    <row r="274" spans="1:5" x14ac:dyDescent="0.45">
      <c r="A274" s="10"/>
      <c r="B274" s="10"/>
      <c r="C274" s="10"/>
      <c r="D274" s="10"/>
      <c r="E274" s="10"/>
    </row>
    <row r="275" spans="1:5" x14ac:dyDescent="0.45">
      <c r="A275" s="10"/>
      <c r="B275" s="10"/>
      <c r="C275" s="10"/>
      <c r="D275" s="10"/>
      <c r="E275" s="10"/>
    </row>
    <row r="276" spans="1:5" x14ac:dyDescent="0.45">
      <c r="A276" s="10"/>
      <c r="B276" s="10"/>
      <c r="C276" s="10"/>
      <c r="D276" s="10"/>
      <c r="E276" s="10"/>
    </row>
    <row r="277" spans="1:5" x14ac:dyDescent="0.45">
      <c r="A277" s="10"/>
      <c r="B277" s="10"/>
      <c r="C277" s="10"/>
      <c r="D277" s="10"/>
      <c r="E277" s="10"/>
    </row>
    <row r="278" spans="1:5" x14ac:dyDescent="0.45">
      <c r="A278" s="10"/>
      <c r="B278" s="10"/>
      <c r="C278" s="10"/>
      <c r="D278" s="10"/>
      <c r="E278" s="10"/>
    </row>
    <row r="279" spans="1:5" x14ac:dyDescent="0.45">
      <c r="A279" s="10"/>
      <c r="B279" s="10"/>
      <c r="C279" s="10"/>
      <c r="D279" s="10"/>
      <c r="E279" s="10"/>
    </row>
    <row r="280" spans="1:5" x14ac:dyDescent="0.45">
      <c r="A280" s="10"/>
      <c r="B280" s="10"/>
      <c r="C280" s="10"/>
      <c r="D280" s="10"/>
      <c r="E280" s="10"/>
    </row>
    <row r="281" spans="1:5" x14ac:dyDescent="0.45">
      <c r="A281" s="10"/>
      <c r="B281" s="10"/>
      <c r="C281" s="10"/>
      <c r="D281" s="10"/>
      <c r="E281" s="10"/>
    </row>
    <row r="282" spans="1:5" x14ac:dyDescent="0.45">
      <c r="A282" s="10"/>
      <c r="B282" s="10"/>
      <c r="C282" s="10"/>
      <c r="D282" s="10"/>
      <c r="E282" s="10"/>
    </row>
    <row r="283" spans="1:5" x14ac:dyDescent="0.45">
      <c r="A283" s="10"/>
      <c r="B283" s="10"/>
      <c r="C283" s="10"/>
      <c r="D283" s="10"/>
      <c r="E283" s="10"/>
    </row>
    <row r="284" spans="1:5" x14ac:dyDescent="0.45">
      <c r="A284" s="10"/>
      <c r="B284" s="10"/>
      <c r="C284" s="10"/>
      <c r="D284" s="10"/>
      <c r="E284" s="10"/>
    </row>
    <row r="285" spans="1:5" x14ac:dyDescent="0.45">
      <c r="A285" s="10"/>
      <c r="B285" s="10"/>
      <c r="C285" s="10"/>
      <c r="D285" s="10"/>
      <c r="E285" s="10"/>
    </row>
    <row r="286" spans="1:5" x14ac:dyDescent="0.45">
      <c r="A286" s="10"/>
      <c r="B286" s="10"/>
      <c r="C286" s="10"/>
      <c r="D286" s="10"/>
      <c r="E286" s="10"/>
    </row>
    <row r="287" spans="1:5" x14ac:dyDescent="0.45">
      <c r="A287" s="10"/>
      <c r="B287" s="10"/>
      <c r="C287" s="10"/>
      <c r="D287" s="10"/>
      <c r="E287" s="10"/>
    </row>
    <row r="288" spans="1:5" x14ac:dyDescent="0.45">
      <c r="A288" s="10"/>
      <c r="B288" s="10"/>
      <c r="C288" s="10"/>
      <c r="D288" s="10"/>
      <c r="E288" s="10"/>
    </row>
    <row r="289" spans="1:5" x14ac:dyDescent="0.45">
      <c r="A289" s="10"/>
      <c r="B289" s="10"/>
      <c r="C289" s="10"/>
      <c r="D289" s="10"/>
      <c r="E289" s="10"/>
    </row>
    <row r="290" spans="1:5" x14ac:dyDescent="0.45">
      <c r="A290" s="10"/>
      <c r="B290" s="10"/>
      <c r="C290" s="10"/>
      <c r="D290" s="10"/>
      <c r="E290" s="10"/>
    </row>
    <row r="291" spans="1:5" x14ac:dyDescent="0.45">
      <c r="A291" s="10"/>
      <c r="B291" s="10"/>
      <c r="C291" s="10"/>
      <c r="D291" s="10"/>
      <c r="E291" s="10"/>
    </row>
    <row r="292" spans="1:5" x14ac:dyDescent="0.45">
      <c r="A292" s="10"/>
      <c r="B292" s="10"/>
      <c r="C292" s="10"/>
      <c r="D292" s="10"/>
      <c r="E292" s="10"/>
    </row>
    <row r="293" spans="1:5" x14ac:dyDescent="0.45">
      <c r="A293" s="10"/>
      <c r="B293" s="10"/>
      <c r="C293" s="10"/>
      <c r="D293" s="10"/>
      <c r="E293" s="10"/>
    </row>
    <row r="294" spans="1:5" x14ac:dyDescent="0.45">
      <c r="A294" s="10"/>
      <c r="B294" s="10"/>
      <c r="C294" s="10"/>
      <c r="D294" s="10"/>
      <c r="E294" s="10"/>
    </row>
    <row r="295" spans="1:5" x14ac:dyDescent="0.45">
      <c r="A295" s="10"/>
      <c r="B295" s="10"/>
      <c r="C295" s="10"/>
      <c r="D295" s="10"/>
      <c r="E295" s="10"/>
    </row>
    <row r="296" spans="1:5" x14ac:dyDescent="0.45">
      <c r="A296" s="10"/>
      <c r="B296" s="10"/>
      <c r="C296" s="10"/>
      <c r="D296" s="10"/>
      <c r="E296" s="10"/>
    </row>
    <row r="297" spans="1:5" x14ac:dyDescent="0.45">
      <c r="A297" s="10"/>
      <c r="B297" s="10"/>
      <c r="C297" s="10"/>
      <c r="D297" s="10"/>
      <c r="E297" s="10"/>
    </row>
    <row r="298" spans="1:5" x14ac:dyDescent="0.45">
      <c r="A298" s="10"/>
      <c r="B298" s="10"/>
      <c r="C298" s="10"/>
      <c r="D298" s="10"/>
      <c r="E298" s="10"/>
    </row>
    <row r="299" spans="1:5" x14ac:dyDescent="0.45">
      <c r="A299" s="10"/>
      <c r="B299" s="10"/>
      <c r="C299" s="10"/>
      <c r="D299" s="10"/>
      <c r="E299" s="10"/>
    </row>
    <row r="300" spans="1:5" x14ac:dyDescent="0.45">
      <c r="A300" s="10"/>
      <c r="B300" s="10"/>
      <c r="C300" s="10"/>
      <c r="D300" s="10"/>
      <c r="E300" s="10"/>
    </row>
    <row r="301" spans="1:5" x14ac:dyDescent="0.45">
      <c r="A301" s="10"/>
      <c r="B301" s="10"/>
      <c r="C301" s="10"/>
      <c r="D301" s="10"/>
      <c r="E301" s="10"/>
    </row>
    <row r="302" spans="1:5" x14ac:dyDescent="0.45">
      <c r="A302" s="10"/>
      <c r="B302" s="10"/>
      <c r="C302" s="10"/>
      <c r="D302" s="10"/>
      <c r="E302" s="10"/>
    </row>
    <row r="303" spans="1:5" x14ac:dyDescent="0.45">
      <c r="A303" s="10"/>
      <c r="B303" s="10"/>
      <c r="C303" s="10"/>
      <c r="D303" s="10"/>
      <c r="E303" s="10"/>
    </row>
    <row r="304" spans="1:5" x14ac:dyDescent="0.45">
      <c r="A304" s="10"/>
      <c r="B304" s="10"/>
      <c r="C304" s="10"/>
      <c r="D304" s="10"/>
      <c r="E304" s="10"/>
    </row>
    <row r="305" spans="1:5" x14ac:dyDescent="0.45">
      <c r="A305" s="10"/>
      <c r="B305" s="10"/>
      <c r="C305" s="10"/>
      <c r="D305" s="10"/>
      <c r="E305" s="10"/>
    </row>
    <row r="306" spans="1:5" x14ac:dyDescent="0.45">
      <c r="A306" s="10"/>
      <c r="B306" s="10"/>
      <c r="C306" s="10"/>
      <c r="D306" s="10"/>
      <c r="E306" s="10"/>
    </row>
    <row r="307" spans="1:5" x14ac:dyDescent="0.45">
      <c r="A307" s="10"/>
      <c r="B307" s="10"/>
      <c r="C307" s="10"/>
      <c r="D307" s="10"/>
      <c r="E307" s="10"/>
    </row>
    <row r="308" spans="1:5" x14ac:dyDescent="0.45">
      <c r="A308" s="10"/>
      <c r="B308" s="10"/>
      <c r="C308" s="10"/>
      <c r="D308" s="10"/>
      <c r="E308" s="10"/>
    </row>
    <row r="309" spans="1:5" x14ac:dyDescent="0.45">
      <c r="A309" s="10"/>
      <c r="B309" s="10"/>
      <c r="C309" s="10"/>
      <c r="D309" s="10"/>
      <c r="E309" s="10"/>
    </row>
    <row r="310" spans="1:5" x14ac:dyDescent="0.45">
      <c r="A310" s="10"/>
      <c r="B310" s="10"/>
      <c r="C310" s="10"/>
      <c r="D310" s="10"/>
      <c r="E310" s="10"/>
    </row>
    <row r="311" spans="1:5" x14ac:dyDescent="0.45">
      <c r="A311" s="10"/>
      <c r="B311" s="10"/>
      <c r="C311" s="10"/>
      <c r="D311" s="10"/>
      <c r="E311" s="10"/>
    </row>
    <row r="312" spans="1:5" x14ac:dyDescent="0.45">
      <c r="A312" s="10"/>
      <c r="B312" s="10"/>
      <c r="C312" s="10"/>
      <c r="D312" s="10"/>
      <c r="E312" s="10"/>
    </row>
    <row r="313" spans="1:5" x14ac:dyDescent="0.45">
      <c r="A313" s="10"/>
      <c r="B313" s="10"/>
      <c r="C313" s="10"/>
      <c r="D313" s="10"/>
      <c r="E313" s="10"/>
    </row>
    <row r="314" spans="1:5" x14ac:dyDescent="0.45">
      <c r="A314" s="10"/>
      <c r="B314" s="10"/>
      <c r="C314" s="10"/>
      <c r="D314" s="10"/>
      <c r="E314" s="10"/>
    </row>
    <row r="315" spans="1:5" x14ac:dyDescent="0.45">
      <c r="A315" s="10"/>
      <c r="B315" s="10"/>
      <c r="C315" s="10"/>
      <c r="D315" s="10"/>
      <c r="E315" s="10"/>
    </row>
    <row r="316" spans="1:5" x14ac:dyDescent="0.45">
      <c r="A316" s="10"/>
      <c r="B316" s="10"/>
      <c r="C316" s="10"/>
      <c r="D316" s="10"/>
      <c r="E316" s="10"/>
    </row>
    <row r="317" spans="1:5" x14ac:dyDescent="0.45">
      <c r="A317" s="10"/>
      <c r="B317" s="10"/>
      <c r="C317" s="10"/>
      <c r="D317" s="10"/>
      <c r="E317" s="10"/>
    </row>
    <row r="318" spans="1:5" x14ac:dyDescent="0.45">
      <c r="A318" s="10"/>
      <c r="B318" s="10"/>
      <c r="C318" s="10"/>
      <c r="D318" s="10"/>
      <c r="E318" s="10"/>
    </row>
    <row r="319" spans="1:5" x14ac:dyDescent="0.45">
      <c r="A319" s="10"/>
      <c r="B319" s="10"/>
      <c r="C319" s="10"/>
      <c r="D319" s="10"/>
      <c r="E319" s="10"/>
    </row>
    <row r="320" spans="1:5" x14ac:dyDescent="0.45">
      <c r="A320" s="10"/>
      <c r="B320" s="10"/>
      <c r="C320" s="10"/>
      <c r="D320" s="10"/>
      <c r="E320" s="10"/>
    </row>
    <row r="321" spans="1:5" x14ac:dyDescent="0.45">
      <c r="A321" s="10"/>
      <c r="B321" s="10"/>
      <c r="C321" s="10"/>
      <c r="D321" s="10"/>
      <c r="E321" s="10"/>
    </row>
    <row r="322" spans="1:5" x14ac:dyDescent="0.45">
      <c r="A322" s="10"/>
      <c r="B322" s="10"/>
      <c r="C322" s="10"/>
      <c r="D322" s="10"/>
      <c r="E322" s="10"/>
    </row>
    <row r="323" spans="1:5" x14ac:dyDescent="0.45">
      <c r="A323" s="10"/>
      <c r="B323" s="10"/>
      <c r="C323" s="10"/>
      <c r="D323" s="10"/>
      <c r="E323" s="10"/>
    </row>
    <row r="324" spans="1:5" x14ac:dyDescent="0.45">
      <c r="A324" s="10"/>
      <c r="B324" s="10"/>
      <c r="C324" s="10"/>
      <c r="D324" s="10"/>
      <c r="E324" s="10"/>
    </row>
    <row r="325" spans="1:5" x14ac:dyDescent="0.45">
      <c r="A325" s="10"/>
      <c r="B325" s="10"/>
      <c r="C325" s="10"/>
      <c r="D325" s="10"/>
      <c r="E325" s="10"/>
    </row>
    <row r="326" spans="1:5" x14ac:dyDescent="0.45">
      <c r="A326" s="10"/>
      <c r="B326" s="10"/>
      <c r="C326" s="10"/>
      <c r="D326" s="10"/>
      <c r="E326" s="10"/>
    </row>
    <row r="327" spans="1:5" x14ac:dyDescent="0.45">
      <c r="A327" s="10"/>
      <c r="B327" s="10"/>
      <c r="C327" s="10"/>
      <c r="D327" s="10"/>
      <c r="E327" s="10"/>
    </row>
    <row r="328" spans="1:5" x14ac:dyDescent="0.45">
      <c r="A328" s="10"/>
      <c r="B328" s="10"/>
      <c r="C328" s="10"/>
      <c r="D328" s="10"/>
      <c r="E328" s="10"/>
    </row>
    <row r="329" spans="1:5" x14ac:dyDescent="0.45">
      <c r="A329" s="10"/>
      <c r="B329" s="10"/>
      <c r="C329" s="10"/>
      <c r="D329" s="10"/>
      <c r="E329" s="10"/>
    </row>
    <row r="330" spans="1:5" x14ac:dyDescent="0.45">
      <c r="A330" s="10"/>
      <c r="B330" s="10"/>
      <c r="C330" s="10"/>
      <c r="D330" s="10"/>
      <c r="E330" s="10"/>
    </row>
    <row r="331" spans="1:5" x14ac:dyDescent="0.45">
      <c r="A331" s="10"/>
      <c r="B331" s="10"/>
      <c r="C331" s="10"/>
      <c r="D331" s="10"/>
      <c r="E331" s="10"/>
    </row>
    <row r="332" spans="1:5" x14ac:dyDescent="0.45">
      <c r="A332" s="10"/>
      <c r="B332" s="10"/>
      <c r="C332" s="10"/>
      <c r="D332" s="10"/>
      <c r="E332" s="10"/>
    </row>
    <row r="333" spans="1:5" x14ac:dyDescent="0.45">
      <c r="A333" s="10"/>
      <c r="B333" s="10"/>
      <c r="C333" s="10"/>
      <c r="D333" s="10"/>
      <c r="E333" s="10"/>
    </row>
    <row r="334" spans="1:5" x14ac:dyDescent="0.45">
      <c r="A334" s="10"/>
      <c r="B334" s="10"/>
      <c r="C334" s="10"/>
      <c r="D334" s="10"/>
      <c r="E334" s="10"/>
    </row>
    <row r="335" spans="1:5" x14ac:dyDescent="0.45">
      <c r="A335" s="10"/>
      <c r="B335" s="10"/>
      <c r="C335" s="10"/>
      <c r="D335" s="10"/>
      <c r="E335" s="10"/>
    </row>
    <row r="336" spans="1:5" x14ac:dyDescent="0.45">
      <c r="A336" s="10"/>
      <c r="B336" s="10"/>
      <c r="C336" s="10"/>
      <c r="D336" s="10"/>
      <c r="E336" s="10"/>
    </row>
    <row r="337" spans="1:5" x14ac:dyDescent="0.45">
      <c r="A337" s="10"/>
      <c r="B337" s="10"/>
      <c r="C337" s="10"/>
      <c r="D337" s="10"/>
      <c r="E337" s="10"/>
    </row>
    <row r="338" spans="1:5" x14ac:dyDescent="0.45">
      <c r="A338" s="10"/>
      <c r="B338" s="10"/>
      <c r="C338" s="10"/>
      <c r="D338" s="10"/>
      <c r="E338" s="10"/>
    </row>
    <row r="339" spans="1:5" x14ac:dyDescent="0.45">
      <c r="A339" s="10"/>
      <c r="B339" s="10"/>
      <c r="C339" s="10"/>
      <c r="D339" s="10"/>
      <c r="E339" s="10"/>
    </row>
    <row r="340" spans="1:5" x14ac:dyDescent="0.45">
      <c r="A340" s="10"/>
      <c r="B340" s="10"/>
      <c r="C340" s="10"/>
      <c r="D340" s="10"/>
      <c r="E340" s="10"/>
    </row>
    <row r="341" spans="1:5" x14ac:dyDescent="0.45">
      <c r="A341" s="10"/>
      <c r="B341" s="10"/>
      <c r="C341" s="10"/>
      <c r="D341" s="10"/>
      <c r="E341" s="10"/>
    </row>
    <row r="342" spans="1:5" x14ac:dyDescent="0.45">
      <c r="A342" s="10"/>
      <c r="B342" s="10"/>
      <c r="C342" s="10"/>
      <c r="D342" s="10"/>
      <c r="E342" s="10"/>
    </row>
    <row r="343" spans="1:5" x14ac:dyDescent="0.45">
      <c r="A343" s="10"/>
      <c r="B343" s="10"/>
      <c r="C343" s="10"/>
      <c r="D343" s="10"/>
      <c r="E343" s="10"/>
    </row>
    <row r="344" spans="1:5" x14ac:dyDescent="0.45">
      <c r="A344" s="10"/>
      <c r="B344" s="10"/>
      <c r="C344" s="10"/>
      <c r="D344" s="10"/>
      <c r="E344" s="10"/>
    </row>
    <row r="345" spans="1:5" x14ac:dyDescent="0.45">
      <c r="A345" s="10"/>
      <c r="B345" s="10"/>
      <c r="C345" s="10"/>
      <c r="D345" s="10"/>
      <c r="E345" s="10"/>
    </row>
    <row r="346" spans="1:5" x14ac:dyDescent="0.45">
      <c r="A346" s="10"/>
      <c r="B346" s="10"/>
      <c r="C346" s="10"/>
      <c r="D346" s="10"/>
      <c r="E346" s="10"/>
    </row>
    <row r="347" spans="1:5" x14ac:dyDescent="0.45">
      <c r="A347" s="10"/>
      <c r="B347" s="10"/>
      <c r="C347" s="10"/>
      <c r="D347" s="10"/>
      <c r="E347" s="10"/>
    </row>
    <row r="348" spans="1:5" x14ac:dyDescent="0.45">
      <c r="A348" s="10"/>
      <c r="B348" s="10"/>
      <c r="C348" s="10"/>
      <c r="D348" s="10"/>
      <c r="E348" s="10"/>
    </row>
    <row r="349" spans="1:5" x14ac:dyDescent="0.45">
      <c r="A349" s="10"/>
      <c r="B349" s="10"/>
      <c r="C349" s="10"/>
      <c r="D349" s="10"/>
      <c r="E349" s="10"/>
    </row>
    <row r="350" spans="1:5" x14ac:dyDescent="0.45">
      <c r="A350" s="10"/>
      <c r="B350" s="10"/>
      <c r="C350" s="10"/>
      <c r="D350" s="10"/>
      <c r="E350" s="10"/>
    </row>
    <row r="351" spans="1:5" x14ac:dyDescent="0.45">
      <c r="A351" s="10"/>
      <c r="B351" s="10"/>
      <c r="C351" s="10"/>
      <c r="D351" s="10"/>
      <c r="E351" s="10"/>
    </row>
    <row r="352" spans="1:5" x14ac:dyDescent="0.45">
      <c r="A352" s="10"/>
      <c r="B352" s="10"/>
      <c r="C352" s="10"/>
      <c r="D352" s="10"/>
      <c r="E352" s="10"/>
    </row>
    <row r="353" spans="1:5" x14ac:dyDescent="0.45">
      <c r="A353" s="10"/>
      <c r="B353" s="10"/>
      <c r="C353" s="10"/>
      <c r="D353" s="10"/>
      <c r="E353" s="10"/>
    </row>
    <row r="354" spans="1:5" x14ac:dyDescent="0.45">
      <c r="A354" s="10"/>
      <c r="B354" s="10"/>
      <c r="C354" s="10"/>
      <c r="D354" s="10"/>
      <c r="E354" s="10"/>
    </row>
    <row r="355" spans="1:5" x14ac:dyDescent="0.45">
      <c r="A355" s="10"/>
      <c r="B355" s="10"/>
      <c r="C355" s="10"/>
      <c r="D355" s="10"/>
      <c r="E355" s="10"/>
    </row>
    <row r="356" spans="1:5" x14ac:dyDescent="0.45">
      <c r="A356" s="10"/>
      <c r="B356" s="10"/>
      <c r="C356" s="10"/>
      <c r="D356" s="10"/>
      <c r="E356" s="10"/>
    </row>
    <row r="357" spans="1:5" x14ac:dyDescent="0.45">
      <c r="A357" s="10"/>
      <c r="B357" s="10"/>
      <c r="C357" s="10"/>
      <c r="D357" s="10"/>
      <c r="E357" s="10"/>
    </row>
    <row r="358" spans="1:5" x14ac:dyDescent="0.45">
      <c r="A358" s="10"/>
      <c r="B358" s="10"/>
      <c r="C358" s="10"/>
      <c r="D358" s="10"/>
      <c r="E358" s="10"/>
    </row>
    <row r="359" spans="1:5" x14ac:dyDescent="0.45">
      <c r="A359" s="10"/>
      <c r="B359" s="10"/>
      <c r="C359" s="10"/>
      <c r="D359" s="10"/>
      <c r="E359" s="10"/>
    </row>
    <row r="360" spans="1:5" x14ac:dyDescent="0.45">
      <c r="A360" s="10"/>
      <c r="B360" s="10"/>
      <c r="C360" s="10"/>
      <c r="D360" s="10"/>
      <c r="E360" s="10"/>
    </row>
    <row r="361" spans="1:5" x14ac:dyDescent="0.45">
      <c r="A361" s="10"/>
      <c r="B361" s="10"/>
      <c r="C361" s="10"/>
      <c r="D361" s="10"/>
      <c r="E361" s="10"/>
    </row>
    <row r="362" spans="1:5" x14ac:dyDescent="0.45">
      <c r="A362" s="10"/>
      <c r="B362" s="10"/>
      <c r="C362" s="10"/>
      <c r="D362" s="10"/>
      <c r="E362" s="10"/>
    </row>
    <row r="363" spans="1:5" x14ac:dyDescent="0.45">
      <c r="A363" s="10"/>
      <c r="B363" s="10"/>
      <c r="C363" s="10"/>
      <c r="D363" s="10"/>
      <c r="E363" s="10"/>
    </row>
    <row r="364" spans="1:5" x14ac:dyDescent="0.45">
      <c r="A364" s="10"/>
      <c r="B364" s="10"/>
      <c r="C364" s="10"/>
      <c r="D364" s="10"/>
      <c r="E364" s="10"/>
    </row>
    <row r="365" spans="1:5" x14ac:dyDescent="0.45">
      <c r="A365" s="10"/>
      <c r="B365" s="10"/>
      <c r="C365" s="10"/>
      <c r="D365" s="10"/>
      <c r="E365" s="10"/>
    </row>
    <row r="366" spans="1:5" x14ac:dyDescent="0.45">
      <c r="A366" s="10"/>
      <c r="B366" s="10"/>
      <c r="C366" s="10"/>
      <c r="D366" s="10"/>
      <c r="E366" s="10"/>
    </row>
    <row r="367" spans="1:5" x14ac:dyDescent="0.45">
      <c r="A367" s="10"/>
      <c r="B367" s="10"/>
      <c r="C367" s="10"/>
      <c r="D367" s="10"/>
      <c r="E367" s="10"/>
    </row>
    <row r="368" spans="1:5" x14ac:dyDescent="0.45">
      <c r="A368" s="10"/>
      <c r="B368" s="10"/>
      <c r="C368" s="10"/>
      <c r="D368" s="10"/>
      <c r="E368" s="10"/>
    </row>
    <row r="369" spans="1:5" x14ac:dyDescent="0.45">
      <c r="A369" s="10"/>
      <c r="B369" s="10"/>
      <c r="C369" s="10"/>
      <c r="D369" s="10"/>
      <c r="E369" s="10"/>
    </row>
    <row r="370" spans="1:5" x14ac:dyDescent="0.45">
      <c r="A370" s="10"/>
      <c r="B370" s="10"/>
      <c r="C370" s="10"/>
      <c r="D370" s="10"/>
      <c r="E370" s="10"/>
    </row>
    <row r="371" spans="1:5" x14ac:dyDescent="0.45">
      <c r="A371" s="10"/>
      <c r="B371" s="10"/>
      <c r="C371" s="10"/>
      <c r="D371" s="10"/>
      <c r="E371" s="10"/>
    </row>
    <row r="372" spans="1:5" x14ac:dyDescent="0.45">
      <c r="A372" s="10"/>
      <c r="B372" s="10"/>
      <c r="C372" s="10"/>
      <c r="D372" s="10"/>
      <c r="E372" s="10"/>
    </row>
    <row r="373" spans="1:5" x14ac:dyDescent="0.45">
      <c r="A373" s="10"/>
      <c r="B373" s="10"/>
      <c r="C373" s="10"/>
      <c r="D373" s="10"/>
      <c r="E373" s="10"/>
    </row>
    <row r="374" spans="1:5" x14ac:dyDescent="0.45">
      <c r="A374" s="10"/>
      <c r="B374" s="10"/>
      <c r="C374" s="10"/>
      <c r="D374" s="10"/>
      <c r="E374" s="10"/>
    </row>
    <row r="375" spans="1:5" x14ac:dyDescent="0.45">
      <c r="A375" s="10"/>
      <c r="B375" s="10"/>
      <c r="C375" s="10"/>
      <c r="D375" s="10"/>
      <c r="E375" s="10"/>
    </row>
    <row r="376" spans="1:5" x14ac:dyDescent="0.45">
      <c r="A376" s="10"/>
      <c r="B376" s="10"/>
      <c r="C376" s="10"/>
      <c r="D376" s="10"/>
      <c r="E376" s="10"/>
    </row>
    <row r="377" spans="1:5" x14ac:dyDescent="0.45">
      <c r="A377" s="10"/>
      <c r="B377" s="10"/>
      <c r="C377" s="10"/>
      <c r="D377" s="10"/>
      <c r="E377" s="10"/>
    </row>
    <row r="378" spans="1:5" x14ac:dyDescent="0.45">
      <c r="A378" s="10"/>
      <c r="B378" s="10"/>
      <c r="C378" s="10"/>
      <c r="D378" s="10"/>
      <c r="E378" s="10"/>
    </row>
    <row r="379" spans="1:5" x14ac:dyDescent="0.45">
      <c r="A379" s="10"/>
      <c r="B379" s="10"/>
      <c r="C379" s="10"/>
      <c r="D379" s="10"/>
      <c r="E379" s="10"/>
    </row>
    <row r="380" spans="1:5" x14ac:dyDescent="0.45">
      <c r="A380" s="10"/>
      <c r="B380" s="10"/>
      <c r="C380" s="10"/>
      <c r="D380" s="10"/>
      <c r="E380" s="10"/>
    </row>
    <row r="381" spans="1:5" x14ac:dyDescent="0.45">
      <c r="A381" s="10"/>
      <c r="B381" s="10"/>
      <c r="C381" s="10"/>
      <c r="D381" s="10"/>
      <c r="E381" s="10"/>
    </row>
    <row r="382" spans="1:5" x14ac:dyDescent="0.45">
      <c r="A382" s="10"/>
      <c r="B382" s="10"/>
      <c r="C382" s="10"/>
      <c r="D382" s="10"/>
      <c r="E38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Royalties</vt:lpstr>
      <vt:lpstr>Oil Production</vt:lpstr>
      <vt:lpstr>Gas Production</vt:lpstr>
      <vt:lpstr>Liquids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Leach</dc:creator>
  <cp:lastModifiedBy>Andrew Leach</cp:lastModifiedBy>
  <dcterms:created xsi:type="dcterms:W3CDTF">2022-10-24T22:40:29Z</dcterms:created>
  <dcterms:modified xsi:type="dcterms:W3CDTF">2022-10-29T03:20:19Z</dcterms:modified>
</cp:coreProperties>
</file>